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drawings/drawing2.xml" ContentType="application/vnd.openxmlformats-officedocument.drawing+xml"/>
  <Override PartName="/xl/embeddings/oleObject2.bin" ContentType="application/vnd.openxmlformats-officedocument.oleObject"/>
  <Override PartName="/xl/drawings/drawing3.xml" ContentType="application/vnd.openxmlformats-officedocument.drawing+xml"/>
  <Override PartName="/xl/embeddings/oleObject3.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6" rupBuild="16729"/>
  <workbookPr autoCompressPictures="0" defaultThemeVersion="124226"/>
  <mc:AlternateContent xmlns:mc="http://schemas.openxmlformats.org/markup-compatibility/2006">
    <mc:Choice Requires="x15">
      <x15ac:absPath xmlns:x15ac="http://schemas.microsoft.com/office/spreadsheetml/2010/11/ac" url="C:\Users\CGoff\Desktop\"/>
    </mc:Choice>
  </mc:AlternateContent>
  <bookViews>
    <workbookView xWindow="-15" yWindow="6075" windowWidth="23625" windowHeight="6135" tabRatio="468"/>
  </bookViews>
  <sheets>
    <sheet name="Introducción" sheetId="4" r:id="rId1"/>
    <sheet name="Módulo básico" sheetId="3" r:id="rId2"/>
    <sheet name="Módulo avanzado" sheetId="1" r:id="rId3"/>
  </sheets>
  <definedNames>
    <definedName name="gBOD5capd">'Módulo avanzado'!$O$16:$O$18</definedName>
    <definedName name="GHGemissions">'Módulo básico'!$O$10:$O$12</definedName>
    <definedName name="methanecontent">'Módulo avanzado'!$O$111:$O$113</definedName>
    <definedName name="_xlnm.Print_Area" localSheetId="2">'Módulo avanzado'!$B$2:$E$419</definedName>
    <definedName name="_xlnm.Print_Area" localSheetId="1">'Módulo básico'!$B$2:$E$74</definedName>
    <definedName name="VSdestruction">'Módulo avanzado'!$O$74:$O$76</definedName>
    <definedName name="VSDS">'Módulo avanzado'!$P$48:$P$50</definedName>
  </definedNames>
  <calcPr calcId="171027"/>
  <extLst>
    <ext xmlns:mx="http://schemas.microsoft.com/office/mac/excel/2008/main" uri="{7523E5D3-25F3-A5E0-1632-64F254C22452}">
      <mx:ArchID Flags="2"/>
    </ext>
  </extLst>
</workbook>
</file>

<file path=xl/calcChain.xml><?xml version="1.0" encoding="utf-8"?>
<calcChain xmlns="http://schemas.openxmlformats.org/spreadsheetml/2006/main">
  <c r="C43" i="3" l="1"/>
  <c r="C28" i="3"/>
  <c r="C396" i="1"/>
  <c r="C328" i="1"/>
  <c r="C253" i="1"/>
  <c r="C123" i="1"/>
  <c r="C371" i="1"/>
  <c r="C301" i="1"/>
  <c r="C249" i="1"/>
  <c r="C240" i="1"/>
  <c r="C235" i="1"/>
  <c r="C234" i="1"/>
  <c r="C223" i="1"/>
  <c r="C224" i="1"/>
  <c r="C222" i="1"/>
  <c r="C219" i="1"/>
  <c r="C212" i="1"/>
  <c r="C204" i="1"/>
  <c r="C205" i="1"/>
  <c r="C203" i="1"/>
  <c r="C180" i="1"/>
  <c r="C181" i="1"/>
  <c r="C182" i="1"/>
  <c r="C183" i="1"/>
  <c r="C179" i="1"/>
  <c r="C41" i="3" s="1"/>
  <c r="C170" i="1"/>
  <c r="C25" i="3"/>
  <c r="C36" i="1"/>
  <c r="C147" i="1"/>
  <c r="C6" i="1"/>
  <c r="C5" i="1"/>
  <c r="C406" i="1"/>
  <c r="C338" i="1"/>
  <c r="C313" i="1"/>
  <c r="C266" i="1"/>
  <c r="C262" i="1"/>
  <c r="C259" i="1"/>
  <c r="C139" i="1"/>
  <c r="C135" i="1"/>
  <c r="C129" i="1"/>
  <c r="C146" i="1"/>
  <c r="C10" i="1"/>
  <c r="C159" i="1" s="1"/>
  <c r="C271" i="1" s="1"/>
  <c r="C410" i="1"/>
  <c r="C11" i="1"/>
  <c r="C13" i="1" s="1"/>
  <c r="C26" i="3"/>
  <c r="C381" i="1"/>
  <c r="C64" i="1"/>
  <c r="C69" i="1" s="1"/>
  <c r="C78" i="1" s="1"/>
  <c r="C97" i="1" s="1"/>
  <c r="C59" i="1"/>
  <c r="C399" i="1"/>
  <c r="C400" i="1" s="1"/>
  <c r="C403" i="1" s="1"/>
  <c r="C67" i="3" s="1"/>
  <c r="C331" i="1"/>
  <c r="C332" i="1" s="1"/>
  <c r="C335" i="1" s="1"/>
  <c r="C56" i="3" s="1"/>
  <c r="C98" i="1"/>
  <c r="C17" i="1" l="1"/>
  <c r="C352" i="1" s="1"/>
  <c r="C373" i="1" s="1"/>
  <c r="C374" i="1" s="1"/>
  <c r="C377" i="1" s="1"/>
  <c r="C195" i="1"/>
  <c r="C200" i="1" s="1"/>
  <c r="C209" i="1" s="1"/>
  <c r="C228" i="1" s="1"/>
  <c r="C40" i="1"/>
  <c r="C43" i="1" s="1"/>
  <c r="C58" i="1" s="1"/>
  <c r="C19" i="1"/>
  <c r="C357" i="1" s="1"/>
  <c r="C360" i="1" s="1"/>
  <c r="C283" i="1"/>
  <c r="C306" i="1" s="1"/>
  <c r="C325" i="1" s="1"/>
  <c r="C326" i="1" s="1"/>
  <c r="C190" i="1"/>
  <c r="C174" i="1"/>
  <c r="C194" i="1" s="1"/>
  <c r="C199" i="1" s="1"/>
  <c r="C208" i="1" s="1"/>
  <c r="C227" i="1" s="1"/>
  <c r="C353" i="1"/>
  <c r="C15" i="1"/>
  <c r="C168" i="1"/>
  <c r="C171" i="1" s="1"/>
  <c r="C188" i="1" s="1"/>
  <c r="C164" i="1"/>
  <c r="C31" i="1"/>
  <c r="C375" i="1"/>
  <c r="C64" i="3" s="1"/>
  <c r="C384" i="1"/>
  <c r="C393" i="1"/>
  <c r="C394" i="1" s="1"/>
  <c r="C284" i="1"/>
  <c r="C165" i="1"/>
  <c r="C34" i="1"/>
  <c r="C25" i="1"/>
  <c r="C144" i="1" s="1"/>
  <c r="C18" i="1" l="1"/>
  <c r="C140" i="1" s="1"/>
  <c r="C30" i="1"/>
  <c r="C141" i="1"/>
  <c r="C268" i="1" s="1"/>
  <c r="C193" i="1"/>
  <c r="C388" i="1"/>
  <c r="C389" i="1" s="1"/>
  <c r="C63" i="1"/>
  <c r="C68" i="1" s="1"/>
  <c r="C77" i="1" s="1"/>
  <c r="C96" i="1" s="1"/>
  <c r="C307" i="1"/>
  <c r="C53" i="3" s="1"/>
  <c r="C376" i="1"/>
  <c r="C308" i="1"/>
  <c r="C316" i="1"/>
  <c r="C339" i="1" s="1"/>
  <c r="C340" i="1" s="1"/>
  <c r="C302" i="1"/>
  <c r="C344" i="1" s="1"/>
  <c r="C61" i="3" s="1"/>
  <c r="C177" i="1"/>
  <c r="C189" i="1" s="1"/>
  <c r="C191" i="1" s="1"/>
  <c r="C186" i="1" s="1"/>
  <c r="C273" i="1" s="1"/>
  <c r="C49" i="3" s="1"/>
  <c r="C288" i="1"/>
  <c r="C292" i="1" s="1"/>
  <c r="C309" i="1"/>
  <c r="C115" i="1"/>
  <c r="C116" i="1" s="1"/>
  <c r="C132" i="1"/>
  <c r="C133" i="1" s="1"/>
  <c r="C134" i="1" s="1"/>
  <c r="C31" i="3" s="1"/>
  <c r="C267" i="1"/>
  <c r="C47" i="3" s="1"/>
  <c r="C363" i="1"/>
  <c r="C317" i="1"/>
  <c r="C386" i="1"/>
  <c r="C414" i="1"/>
  <c r="C385" i="1"/>
  <c r="C407" i="1"/>
  <c r="C408" i="1" s="1"/>
  <c r="C62" i="1"/>
  <c r="C37" i="1"/>
  <c r="C57" i="1" s="1"/>
  <c r="C60" i="1" s="1"/>
  <c r="C55" i="1" s="1"/>
  <c r="C148" i="1" s="1"/>
  <c r="C35" i="3" s="1"/>
  <c r="C198" i="1"/>
  <c r="C196" i="1"/>
  <c r="C345" i="1" l="1"/>
  <c r="C62" i="3" s="1"/>
  <c r="C33" i="3"/>
  <c r="C364" i="1"/>
  <c r="C245" i="1"/>
  <c r="C246" i="1" s="1"/>
  <c r="C320" i="1"/>
  <c r="C321" i="1" s="1"/>
  <c r="C318" i="1"/>
  <c r="C322" i="1" s="1"/>
  <c r="C295" i="1"/>
  <c r="C296" i="1" s="1"/>
  <c r="C366" i="1"/>
  <c r="C367" i="1" s="1"/>
  <c r="C365" i="1"/>
  <c r="C69" i="3"/>
  <c r="C58" i="3"/>
  <c r="C201" i="1"/>
  <c r="C207" i="1"/>
  <c r="C415" i="1"/>
  <c r="C409" i="1" s="1"/>
  <c r="C70" i="3" s="1"/>
  <c r="C72" i="3"/>
  <c r="C346" i="1"/>
  <c r="C65" i="1"/>
  <c r="C67" i="1"/>
  <c r="C397" i="1"/>
  <c r="C398" i="1" s="1"/>
  <c r="C390" i="1"/>
  <c r="C65" i="3"/>
  <c r="C329" i="1" l="1"/>
  <c r="C330" i="1" s="1"/>
  <c r="C55" i="3" s="1"/>
  <c r="C341" i="1"/>
  <c r="C59" i="3" s="1"/>
  <c r="C54" i="3"/>
  <c r="C297" i="1"/>
  <c r="C298" i="1"/>
  <c r="C299" i="1" s="1"/>
  <c r="C336" i="1"/>
  <c r="C57" i="3" s="1"/>
  <c r="C226" i="1"/>
  <c r="C210" i="1"/>
  <c r="C213" i="1" s="1"/>
  <c r="C404" i="1"/>
  <c r="C68" i="3" s="1"/>
  <c r="C66" i="3"/>
  <c r="C76" i="1"/>
  <c r="C70" i="1"/>
  <c r="C342" i="1"/>
  <c r="C60" i="3" s="1"/>
  <c r="C411" i="1"/>
  <c r="C71" i="3" s="1"/>
  <c r="C229" i="1" l="1"/>
  <c r="C236" i="1" s="1"/>
  <c r="C238" i="1" s="1"/>
  <c r="C214" i="1"/>
  <c r="C216" i="1"/>
  <c r="C217" i="1" s="1"/>
  <c r="C215" i="1"/>
  <c r="C95" i="1"/>
  <c r="C79" i="1"/>
  <c r="C82" i="1" s="1"/>
  <c r="C83" i="1" l="1"/>
  <c r="C84" i="1"/>
  <c r="C85" i="1"/>
  <c r="C86" i="1" s="1"/>
  <c r="C99" i="1"/>
  <c r="C106" i="1" s="1"/>
  <c r="C108" i="1" s="1"/>
  <c r="C263" i="1"/>
  <c r="C264" i="1" s="1"/>
  <c r="C265" i="1" s="1"/>
  <c r="C46" i="3" s="1"/>
  <c r="C220" i="1"/>
  <c r="C274" i="1" s="1"/>
  <c r="C50" i="3" s="1"/>
  <c r="C230" i="1"/>
  <c r="C39" i="3" s="1"/>
  <c r="C232" i="1"/>
  <c r="C231" i="1"/>
  <c r="C241" i="1"/>
  <c r="C250" i="1"/>
  <c r="C251" i="1" s="1"/>
  <c r="C136" i="1" l="1"/>
  <c r="C137" i="1" s="1"/>
  <c r="C138" i="1" s="1"/>
  <c r="C32" i="3" s="1"/>
  <c r="C243" i="1"/>
  <c r="C275" i="1"/>
  <c r="C260" i="1"/>
  <c r="C261" i="1" s="1"/>
  <c r="C242" i="1"/>
  <c r="C100" i="1"/>
  <c r="C23" i="3" s="1"/>
  <c r="C101" i="1"/>
  <c r="C102" i="1"/>
  <c r="C89" i="1"/>
  <c r="C149" i="1" s="1"/>
  <c r="C36" i="3" s="1"/>
  <c r="C111" i="1"/>
  <c r="C120" i="1"/>
  <c r="C121" i="1" s="1"/>
  <c r="C130" i="1" l="1"/>
  <c r="C131" i="1" s="1"/>
  <c r="C113" i="1"/>
  <c r="C112" i="1"/>
  <c r="C150" i="1"/>
  <c r="C269" i="1"/>
  <c r="C48" i="3" s="1"/>
  <c r="C45" i="3"/>
  <c r="C276" i="1"/>
  <c r="C51" i="3"/>
  <c r="C247" i="1"/>
  <c r="C254" i="1"/>
  <c r="C255" i="1" s="1"/>
  <c r="C40" i="3"/>
  <c r="C142" i="1" l="1"/>
  <c r="C34" i="3" s="1"/>
  <c r="C30" i="3"/>
  <c r="C151" i="1"/>
  <c r="C37" i="3"/>
  <c r="C257" i="1"/>
  <c r="C44" i="3" s="1"/>
  <c r="C42" i="3"/>
  <c r="C117" i="1"/>
  <c r="C24" i="3"/>
  <c r="C124" i="1"/>
  <c r="C125" i="1" s="1"/>
  <c r="C127" i="1" l="1"/>
  <c r="C29" i="3" s="1"/>
  <c r="C27" i="3"/>
</calcChain>
</file>

<file path=xl/sharedStrings.xml><?xml version="1.0" encoding="utf-8"?>
<sst xmlns="http://schemas.openxmlformats.org/spreadsheetml/2006/main" count="1002" uniqueCount="957">
  <si>
    <r>
      <rPr>
        <sz val="8"/>
        <rFont val="Calibri"/>
        <family val="2"/>
        <scheme val="minor"/>
      </rPr>
      <t>mg/l</t>
    </r>
  </si>
  <si>
    <r>
      <rPr>
        <sz val="8"/>
        <rFont val="Calibri"/>
        <family val="2"/>
        <scheme val="minor"/>
      </rPr>
      <t>kg/d</t>
    </r>
  </si>
  <si>
    <r>
      <rPr>
        <sz val="8"/>
        <rFont val="Calibri"/>
        <family val="2"/>
        <scheme val="minor"/>
      </rPr>
      <t>kWh/año</t>
    </r>
  </si>
  <si>
    <r>
      <rPr>
        <sz val="8"/>
        <color theme="1"/>
        <rFont val="Calibri"/>
        <family val="2"/>
        <scheme val="minor"/>
      </rPr>
      <t>Valor calorífico del biogás</t>
    </r>
  </si>
  <si>
    <r>
      <rPr>
        <u/>
        <sz val="8"/>
        <color theme="1"/>
        <rFont val="Calibri"/>
        <family val="2"/>
        <scheme val="minor"/>
      </rPr>
      <t>PRODUCCIÓN DE LODO</t>
    </r>
  </si>
  <si>
    <r>
      <rPr>
        <sz val="8"/>
        <rFont val="Calibri"/>
        <family val="2"/>
        <scheme val="minor"/>
      </rPr>
      <t>%DS</t>
    </r>
  </si>
  <si>
    <r>
      <rPr>
        <sz val="8"/>
        <rFont val="Calibri"/>
        <family val="2"/>
        <scheme val="minor"/>
      </rPr>
      <t>m³/d</t>
    </r>
  </si>
  <si>
    <r>
      <rPr>
        <sz val="8"/>
        <rFont val="Calibri"/>
        <family val="2"/>
        <scheme val="minor"/>
      </rPr>
      <t>kgDS/d</t>
    </r>
  </si>
  <si>
    <r>
      <rPr>
        <sz val="8"/>
        <rFont val="Calibri"/>
        <family val="2"/>
        <scheme val="minor"/>
      </rPr>
      <t>m³</t>
    </r>
  </si>
  <si>
    <r>
      <rPr>
        <u/>
        <sz val="8"/>
        <color theme="1"/>
        <rFont val="Calibri"/>
        <family val="2"/>
        <scheme val="minor"/>
      </rPr>
      <t>ENERGÍA A PARTIR DE BIOGÁS</t>
    </r>
  </si>
  <si>
    <r>
      <rPr>
        <sz val="8"/>
        <rFont val="Calibri"/>
        <family val="2"/>
        <scheme val="minor"/>
      </rPr>
      <t>kWh/d</t>
    </r>
  </si>
  <si>
    <r>
      <rPr>
        <sz val="8"/>
        <color theme="1"/>
        <rFont val="Calibri"/>
        <family val="2"/>
        <scheme val="minor"/>
      </rPr>
      <t>Eficiencia de la generación de energía eléctrica</t>
    </r>
  </si>
  <si>
    <r>
      <rPr>
        <sz val="8"/>
        <color theme="1"/>
        <rFont val="Calibri"/>
        <family val="2"/>
        <scheme val="minor"/>
      </rPr>
      <t>Generación de energía térmica</t>
    </r>
  </si>
  <si>
    <r>
      <rPr>
        <sz val="8"/>
        <rFont val="Calibri"/>
        <family val="2"/>
        <scheme val="minor"/>
      </rPr>
      <t>PE</t>
    </r>
    <r>
      <rPr>
        <vertAlign val="subscript"/>
        <sz val="8"/>
        <rFont val="Calibri"/>
        <family val="2"/>
        <scheme val="minor"/>
      </rPr>
      <t>60</t>
    </r>
  </si>
  <si>
    <r>
      <rPr>
        <sz val="8"/>
        <color theme="1"/>
        <rFont val="Calibri"/>
        <family val="2"/>
        <scheme val="minor"/>
      </rPr>
      <t>Tarifa eléctrica</t>
    </r>
  </si>
  <si>
    <r>
      <rPr>
        <sz val="8"/>
        <color theme="1"/>
        <rFont val="Calibri"/>
        <family val="2"/>
        <scheme val="minor"/>
      </rPr>
      <t>Reducción del costo de aireación en el tanque de aireación</t>
    </r>
  </si>
  <si>
    <r>
      <rPr>
        <sz val="8"/>
        <color theme="1"/>
        <rFont val="Calibri"/>
        <family val="2"/>
        <scheme val="minor"/>
      </rPr>
      <t>Reducción del costo de evacuación de lodo</t>
    </r>
  </si>
  <si>
    <r>
      <rPr>
        <sz val="8"/>
        <rFont val="Calibri"/>
        <family val="2"/>
        <scheme val="minor"/>
      </rPr>
      <t>m³/año</t>
    </r>
  </si>
  <si>
    <r>
      <rPr>
        <sz val="8"/>
        <color theme="1"/>
        <rFont val="Calibri"/>
        <family val="2"/>
        <scheme val="minor"/>
      </rPr>
      <t>Almacenador de biogás</t>
    </r>
  </si>
  <si>
    <r>
      <rPr>
        <b/>
        <sz val="9"/>
        <rFont val="Calibri"/>
        <family val="2"/>
        <scheme val="minor"/>
      </rPr>
      <t>Unidad</t>
    </r>
  </si>
  <si>
    <r>
      <rPr>
        <sz val="8"/>
        <rFont val="Calibri"/>
        <family val="2"/>
        <scheme val="minor"/>
      </rPr>
      <t>kW</t>
    </r>
  </si>
  <si>
    <r>
      <rPr>
        <b/>
        <sz val="8"/>
        <color rgb="FF0070C0"/>
        <rFont val="Calibri"/>
        <family val="2"/>
        <scheme val="minor"/>
      </rPr>
      <t>Ahorro total de gastos de funcionamiento</t>
    </r>
  </si>
  <si>
    <r>
      <rPr>
        <sz val="8"/>
        <color theme="1"/>
        <rFont val="Calibri"/>
        <family val="2"/>
        <scheme val="minor"/>
      </rPr>
      <t>Costo de mantenimiento adicional</t>
    </r>
  </si>
  <si>
    <r>
      <rPr>
        <sz val="8"/>
        <rFont val="Calibri"/>
        <family val="2"/>
        <scheme val="minor"/>
      </rPr>
      <t>gDS/gBOD</t>
    </r>
    <r>
      <rPr>
        <vertAlign val="subscript"/>
        <sz val="8"/>
        <rFont val="Calibri"/>
        <family val="2"/>
        <scheme val="minor"/>
      </rPr>
      <t>5</t>
    </r>
  </si>
  <si>
    <r>
      <rPr>
        <sz val="8"/>
        <rFont val="Calibri"/>
        <family val="2"/>
        <scheme val="minor"/>
      </rPr>
      <t>kWh/m</t>
    </r>
    <r>
      <rPr>
        <vertAlign val="superscript"/>
        <sz val="8"/>
        <rFont val="Calibri"/>
        <family val="2"/>
        <scheme val="minor"/>
      </rPr>
      <t>3</t>
    </r>
  </si>
  <si>
    <r>
      <rPr>
        <sz val="8"/>
        <rFont val="Calibri"/>
        <family val="2"/>
        <scheme val="minor"/>
      </rPr>
      <t>kWh/PE</t>
    </r>
    <r>
      <rPr>
        <vertAlign val="subscript"/>
        <sz val="8"/>
        <rFont val="Calibri"/>
        <family val="2"/>
        <scheme val="minor"/>
      </rPr>
      <t>60</t>
    </r>
    <r>
      <rPr>
        <sz val="8"/>
        <rFont val="Calibri"/>
        <family val="2"/>
        <scheme val="minor"/>
      </rPr>
      <t>/año</t>
    </r>
  </si>
  <si>
    <r>
      <rPr>
        <b/>
        <sz val="12"/>
        <color theme="1"/>
        <rFont val="Calibri"/>
        <family val="2"/>
        <scheme val="minor"/>
      </rPr>
      <t>Proyecto:</t>
    </r>
  </si>
  <si>
    <r>
      <rPr>
        <b/>
        <sz val="10"/>
        <color theme="1"/>
        <rFont val="Calibri"/>
        <family val="2"/>
        <scheme val="minor"/>
      </rPr>
      <t>Fecha:</t>
    </r>
  </si>
  <si>
    <r>
      <rPr>
        <b/>
        <sz val="9"/>
        <rFont val="Calibri"/>
        <family val="2"/>
        <scheme val="minor"/>
      </rPr>
      <t>Comentario</t>
    </r>
  </si>
  <si>
    <r>
      <rPr>
        <sz val="8"/>
        <rFont val="Calibri"/>
        <family val="2"/>
        <scheme val="minor"/>
      </rPr>
      <t>gBOD</t>
    </r>
    <r>
      <rPr>
        <vertAlign val="subscript"/>
        <sz val="8"/>
        <rFont val="Calibri"/>
        <family val="2"/>
        <scheme val="minor"/>
      </rPr>
      <t>5</t>
    </r>
    <r>
      <rPr>
        <sz val="8"/>
        <rFont val="Calibri"/>
        <family val="2"/>
        <scheme val="minor"/>
      </rPr>
      <t>/cap/d</t>
    </r>
  </si>
  <si>
    <r>
      <rPr>
        <sz val="8"/>
        <color theme="1"/>
        <rFont val="Calibri"/>
        <family val="2"/>
        <scheme val="minor"/>
      </rPr>
      <t>Producción específica per cápita de BOD</t>
    </r>
    <r>
      <rPr>
        <vertAlign val="subscript"/>
        <sz val="8"/>
        <color theme="1"/>
        <rFont val="Calibri"/>
        <family val="2"/>
        <scheme val="minor"/>
      </rPr>
      <t>5</t>
    </r>
    <r>
      <rPr>
        <sz val="8"/>
        <color theme="1"/>
        <rFont val="Calibri"/>
        <family val="2"/>
        <scheme val="minor"/>
      </rPr>
      <t xml:space="preserve"> local</t>
    </r>
  </si>
  <si>
    <r>
      <rPr>
        <sz val="8"/>
        <rFont val="Calibri"/>
        <family val="2"/>
        <scheme val="minor"/>
      </rPr>
      <t>cap</t>
    </r>
  </si>
  <si>
    <r>
      <rPr>
        <sz val="8"/>
        <rFont val="Calibri"/>
        <family val="2"/>
        <scheme val="minor"/>
      </rPr>
      <t>---</t>
    </r>
  </si>
  <si>
    <r>
      <rPr>
        <b/>
        <sz val="9"/>
        <color theme="0"/>
        <rFont val="Calibri"/>
        <family val="2"/>
        <scheme val="minor"/>
      </rPr>
      <t>CAS + DIGESTOR DE LODO</t>
    </r>
  </si>
  <si>
    <r>
      <rPr>
        <u/>
        <sz val="8"/>
        <color theme="1"/>
        <rFont val="Calibri"/>
        <family val="2"/>
        <scheme val="minor"/>
      </rPr>
      <t>TRATAMIENTO DE AGUAS RESIDUALES</t>
    </r>
  </si>
  <si>
    <r>
      <rPr>
        <sz val="8"/>
        <color theme="1"/>
        <rFont val="Calibri"/>
        <family val="2"/>
        <scheme val="minor"/>
      </rPr>
      <t>Tiempo de retención promedio en el PST</t>
    </r>
  </si>
  <si>
    <r>
      <rPr>
        <sz val="8"/>
        <rFont val="Calibri"/>
        <family val="2"/>
        <scheme val="minor"/>
      </rPr>
      <t>h</t>
    </r>
  </si>
  <si>
    <r>
      <rPr>
        <sz val="8"/>
        <color theme="1"/>
        <rFont val="Calibri"/>
        <family val="2"/>
        <scheme val="minor"/>
      </rPr>
      <t>Carga hidráulica promedio</t>
    </r>
  </si>
  <si>
    <r>
      <rPr>
        <sz val="8"/>
        <color theme="1"/>
        <rFont val="Calibri"/>
        <family val="2"/>
        <scheme val="minor"/>
      </rPr>
      <t>Concentración de afluencia BOD</t>
    </r>
    <r>
      <rPr>
        <vertAlign val="subscript"/>
        <sz val="8"/>
        <color theme="1"/>
        <rFont val="Calibri"/>
        <family val="2"/>
        <scheme val="minor"/>
      </rPr>
      <t>5</t>
    </r>
    <r>
      <rPr>
        <sz val="8"/>
        <color theme="1"/>
        <rFont val="Calibri"/>
        <family val="2"/>
        <scheme val="minor"/>
      </rPr>
      <t xml:space="preserve"> promedio</t>
    </r>
  </si>
  <si>
    <r>
      <rPr>
        <sz val="8"/>
        <color theme="1"/>
        <rFont val="Calibri"/>
        <family val="2"/>
        <scheme val="minor"/>
      </rPr>
      <t>Concentración de afluencia TSS promedio</t>
    </r>
  </si>
  <si>
    <r>
      <rPr>
        <sz val="8"/>
        <color theme="1"/>
        <rFont val="Calibri"/>
        <family val="2"/>
        <scheme val="minor"/>
      </rPr>
      <t>Concentración de afluencia VSS promedio</t>
    </r>
  </si>
  <si>
    <r>
      <rPr>
        <sz val="8"/>
        <color theme="1"/>
        <rFont val="Calibri"/>
        <family val="2"/>
        <scheme val="minor"/>
      </rPr>
      <t>Carga de contaminación (BOD</t>
    </r>
    <r>
      <rPr>
        <vertAlign val="subscript"/>
        <sz val="8"/>
        <color theme="1"/>
        <rFont val="Calibri"/>
        <family val="2"/>
        <scheme val="minor"/>
      </rPr>
      <t>5</t>
    </r>
    <r>
      <rPr>
        <sz val="8"/>
        <color theme="1"/>
        <rFont val="Calibri"/>
        <family val="2"/>
        <scheme val="minor"/>
      </rPr>
      <t>) promedio</t>
    </r>
  </si>
  <si>
    <r>
      <rPr>
        <sz val="8"/>
        <color theme="1"/>
        <rFont val="Calibri"/>
        <family val="2"/>
        <scheme val="minor"/>
      </rPr>
      <t>DS del lodo primario después del espesamiento</t>
    </r>
  </si>
  <si>
    <r>
      <rPr>
        <sz val="8"/>
        <color theme="1"/>
        <rFont val="Calibri"/>
        <family val="2"/>
        <scheme val="minor"/>
      </rPr>
      <t>Eficiencia de remoción de TSS del PST</t>
    </r>
  </si>
  <si>
    <r>
      <rPr>
        <sz val="8"/>
        <rFont val="Calibri"/>
        <family val="2"/>
        <scheme val="minor"/>
      </rPr>
      <t>%</t>
    </r>
  </si>
  <si>
    <r>
      <rPr>
        <sz val="8"/>
        <color theme="1"/>
        <rFont val="Calibri"/>
        <family val="2"/>
        <scheme val="minor"/>
      </rPr>
      <t>Producción de PS diaria (DS)</t>
    </r>
  </si>
  <si>
    <r>
      <rPr>
        <sz val="8"/>
        <color theme="1"/>
        <rFont val="Calibri"/>
        <family val="2"/>
        <scheme val="minor"/>
      </rPr>
      <t>Producción bruta diaria de WAS (DS)</t>
    </r>
  </si>
  <si>
    <r>
      <rPr>
        <sz val="8"/>
        <color theme="1"/>
        <rFont val="Calibri"/>
        <family val="2"/>
        <scheme val="minor"/>
      </rPr>
      <t>DS después del espesamiento del WAS</t>
    </r>
  </si>
  <si>
    <r>
      <rPr>
        <u/>
        <sz val="8"/>
        <color theme="1"/>
        <rFont val="Calibri"/>
        <family val="2"/>
        <scheme val="minor"/>
      </rPr>
      <t>DIGESTOR</t>
    </r>
  </si>
  <si>
    <r>
      <rPr>
        <u/>
        <sz val="8"/>
        <color theme="1"/>
        <rFont val="Calibri"/>
        <family val="2"/>
        <scheme val="minor"/>
      </rPr>
      <t>CODIGESTIÓN DE RESIDUOS ORGÁNICOS</t>
    </r>
  </si>
  <si>
    <r>
      <rPr>
        <sz val="8"/>
        <color theme="1"/>
        <rFont val="Calibri"/>
        <family val="2"/>
        <scheme val="minor"/>
      </rPr>
      <t>Promedio total de alimentación</t>
    </r>
  </si>
  <si>
    <r>
      <rPr>
        <u/>
        <sz val="8"/>
        <color theme="1"/>
        <rFont val="Calibri"/>
        <family val="2"/>
        <scheme val="minor"/>
      </rPr>
      <t>DESINTEGRACIÓN DE LODO con ULTRASONIDO</t>
    </r>
  </si>
  <si>
    <r>
      <rPr>
        <sz val="8"/>
        <color theme="1"/>
        <rFont val="Calibri"/>
        <family val="2"/>
        <scheme val="minor"/>
      </rPr>
      <t>Tipo de materia prima orgánica</t>
    </r>
  </si>
  <si>
    <r>
      <rPr>
        <sz val="8"/>
        <color theme="1"/>
        <rFont val="Calibri"/>
        <family val="2"/>
        <scheme val="minor"/>
      </rPr>
      <t>Cantidad promedio diaria</t>
    </r>
  </si>
  <si>
    <r>
      <rPr>
        <sz val="8"/>
        <color theme="1"/>
        <rFont val="Calibri"/>
        <family val="2"/>
        <scheme val="minor"/>
      </rPr>
      <t>DS de la materia prima orgánica</t>
    </r>
  </si>
  <si>
    <r>
      <rPr>
        <sz val="8"/>
        <rFont val="Calibri"/>
        <family val="2"/>
        <scheme val="minor"/>
      </rPr>
      <t>% de peso</t>
    </r>
  </si>
  <si>
    <r>
      <rPr>
        <sz val="8"/>
        <color theme="1"/>
        <rFont val="Calibri"/>
        <family val="2"/>
        <scheme val="minor"/>
      </rPr>
      <t>VS/DS del lodo primario después del espesamiento</t>
    </r>
  </si>
  <si>
    <r>
      <rPr>
        <sz val="8"/>
        <rFont val="Calibri"/>
        <family val="2"/>
        <scheme val="minor"/>
      </rPr>
      <t>%VS</t>
    </r>
  </si>
  <si>
    <r>
      <rPr>
        <b/>
        <sz val="8"/>
        <color theme="1"/>
        <rFont val="Calibri"/>
        <family val="2"/>
      </rPr>
      <t xml:space="preserve">▪ </t>
    </r>
    <r>
      <rPr>
        <b/>
        <sz val="8"/>
        <color theme="1"/>
        <rFont val="Calibri"/>
        <family val="2"/>
        <scheme val="minor"/>
      </rPr>
      <t>m</t>
    </r>
    <r>
      <rPr>
        <b/>
        <vertAlign val="superscript"/>
        <sz val="8"/>
        <color theme="1"/>
        <rFont val="Calibri"/>
        <family val="2"/>
        <scheme val="minor"/>
      </rPr>
      <t>3</t>
    </r>
    <r>
      <rPr>
        <b/>
        <sz val="8"/>
        <color theme="1"/>
        <rFont val="Calibri"/>
        <family val="2"/>
        <scheme val="minor"/>
      </rPr>
      <t>/d de alimentación</t>
    </r>
  </si>
  <si>
    <r>
      <rPr>
        <sz val="8"/>
        <color theme="1"/>
        <rFont val="Calibri"/>
        <family val="2"/>
        <scheme val="minor"/>
      </rPr>
      <t>Alimentación promedio de PS</t>
    </r>
  </si>
  <si>
    <r>
      <rPr>
        <sz val="8"/>
        <color theme="1"/>
        <rFont val="Calibri"/>
        <family val="2"/>
        <scheme val="minor"/>
      </rPr>
      <t>Alimentación promedio de WAS</t>
    </r>
  </si>
  <si>
    <r>
      <rPr>
        <sz val="8"/>
        <color theme="1"/>
        <rFont val="Calibri"/>
        <family val="2"/>
        <scheme val="minor"/>
      </rPr>
      <t>Alimentación promedio de materia prima orgánica</t>
    </r>
  </si>
  <si>
    <r>
      <rPr>
        <b/>
        <sz val="8"/>
        <color theme="1"/>
        <rFont val="Calibri"/>
        <family val="2"/>
      </rPr>
      <t>▪ Alimentación</t>
    </r>
    <r>
      <rPr>
        <b/>
        <sz val="8"/>
        <color theme="1"/>
        <rFont val="Calibri"/>
        <family val="2"/>
        <scheme val="minor"/>
      </rPr>
      <t xml:space="preserve"> del DS</t>
    </r>
  </si>
  <si>
    <r>
      <rPr>
        <b/>
        <sz val="8"/>
        <color theme="1"/>
        <rFont val="Calibri"/>
        <family val="2"/>
      </rPr>
      <t>▪ Alimentación</t>
    </r>
    <r>
      <rPr>
        <b/>
        <sz val="8"/>
        <color theme="1"/>
        <rFont val="Calibri"/>
        <family val="2"/>
        <scheme val="minor"/>
      </rPr>
      <t xml:space="preserve"> del VS</t>
    </r>
  </si>
  <si>
    <r>
      <rPr>
        <sz val="8"/>
        <rFont val="Calibri"/>
        <family val="2"/>
        <scheme val="minor"/>
      </rPr>
      <t>kgVS/d</t>
    </r>
  </si>
  <si>
    <r>
      <rPr>
        <sz val="8"/>
        <color theme="1"/>
        <rFont val="Calibri"/>
        <family val="2"/>
        <scheme val="minor"/>
      </rPr>
      <t>VS promedio de la destrucción de PS</t>
    </r>
  </si>
  <si>
    <r>
      <rPr>
        <sz val="8"/>
        <color theme="1"/>
        <rFont val="Calibri"/>
        <family val="2"/>
        <scheme val="minor"/>
      </rPr>
      <t>VS promedio de la destrucción de WAS</t>
    </r>
  </si>
  <si>
    <r>
      <rPr>
        <sz val="8"/>
        <color theme="1"/>
        <rFont val="Calibri"/>
        <family val="2"/>
        <scheme val="minor"/>
      </rPr>
      <t>VS promedio de la destrucción de materia prima orgánica</t>
    </r>
  </si>
  <si>
    <r>
      <rPr>
        <sz val="8"/>
        <color theme="1"/>
        <rFont val="Calibri"/>
        <family val="2"/>
        <scheme val="minor"/>
      </rPr>
      <t>Promedio total de la destrucción de PS</t>
    </r>
  </si>
  <si>
    <r>
      <rPr>
        <b/>
        <sz val="8"/>
        <color theme="1"/>
        <rFont val="Calibri"/>
        <family val="2"/>
      </rPr>
      <t>▪ Destrucción</t>
    </r>
    <r>
      <rPr>
        <b/>
        <sz val="8"/>
        <color theme="1"/>
        <rFont val="Calibri"/>
        <family val="2"/>
        <scheme val="minor"/>
      </rPr>
      <t xml:space="preserve"> de VS (%)</t>
    </r>
  </si>
  <si>
    <r>
      <rPr>
        <sz val="8"/>
        <rFont val="Calibri"/>
        <family val="2"/>
        <scheme val="minor"/>
      </rPr>
      <t>% de VS</t>
    </r>
  </si>
  <si>
    <r>
      <rPr>
        <u/>
        <sz val="8"/>
        <color theme="1"/>
        <rFont val="Calibri"/>
        <family val="2"/>
        <scheme val="minor"/>
      </rPr>
      <t>PRODUCCIÓN DE BIOGÁS</t>
    </r>
  </si>
  <si>
    <r>
      <rPr>
        <sz val="8"/>
        <color theme="1"/>
        <rFont val="Calibri"/>
        <family val="2"/>
        <scheme val="minor"/>
      </rPr>
      <t>VS/DS después del espesamiento del WAS</t>
    </r>
  </si>
  <si>
    <r>
      <rPr>
        <sz val="8"/>
        <color theme="1"/>
        <rFont val="Calibri"/>
        <family val="2"/>
        <scheme val="minor"/>
      </rPr>
      <t>VS/DS de la materia prima orgánica</t>
    </r>
  </si>
  <si>
    <r>
      <rPr>
        <b/>
        <sz val="8"/>
        <color theme="1"/>
        <rFont val="Calibri"/>
        <family val="2"/>
      </rPr>
      <t>▪ Producción de biogás</t>
    </r>
  </si>
  <si>
    <r>
      <rPr>
        <sz val="8"/>
        <rFont val="Calibri"/>
        <family val="2"/>
        <scheme val="minor"/>
      </rPr>
      <t>L/kgVS</t>
    </r>
    <r>
      <rPr>
        <vertAlign val="subscript"/>
        <sz val="8"/>
        <rFont val="Calibri"/>
        <family val="2"/>
        <scheme val="minor"/>
      </rPr>
      <t>destroyed</t>
    </r>
  </si>
  <si>
    <r>
      <rPr>
        <sz val="8"/>
        <color theme="1"/>
        <rFont val="Calibri"/>
        <family val="2"/>
        <scheme val="minor"/>
      </rPr>
      <t>Rendimiento de biogás a partir de PS</t>
    </r>
  </si>
  <si>
    <r>
      <rPr>
        <sz val="8"/>
        <color theme="1"/>
        <rFont val="Calibri"/>
        <family val="2"/>
        <scheme val="minor"/>
      </rPr>
      <t>Rendimiento de biogás a partir de WAS</t>
    </r>
  </si>
  <si>
    <r>
      <rPr>
        <sz val="8"/>
        <color theme="1"/>
        <rFont val="Calibri"/>
        <family val="2"/>
        <scheme val="minor"/>
      </rPr>
      <t>Rendimiento de biogás a partir de la materia orgánica</t>
    </r>
  </si>
  <si>
    <r>
      <rPr>
        <b/>
        <sz val="8"/>
        <color theme="1"/>
        <rFont val="Calibri"/>
        <family val="2"/>
      </rPr>
      <t>▪ Producción de biogás</t>
    </r>
  </si>
  <si>
    <r>
      <rPr>
        <sz val="8"/>
        <color theme="1"/>
        <rFont val="Calibri"/>
        <family val="2"/>
        <scheme val="minor"/>
      </rPr>
      <t>Producción de biogás a partir de PS</t>
    </r>
  </si>
  <si>
    <r>
      <rPr>
        <sz val="8"/>
        <color theme="1"/>
        <rFont val="Calibri"/>
        <family val="2"/>
        <scheme val="minor"/>
      </rPr>
      <t>Producción de biogás a partir de WAS</t>
    </r>
  </si>
  <si>
    <r>
      <rPr>
        <sz val="8"/>
        <color theme="1"/>
        <rFont val="Calibri"/>
        <family val="2"/>
        <scheme val="minor"/>
      </rPr>
      <t>Producción de biogás a partir de la materia orgánica</t>
    </r>
  </si>
  <si>
    <r>
      <rPr>
        <sz val="8"/>
        <color theme="1"/>
        <rFont val="Calibri"/>
        <family val="2"/>
        <scheme val="minor"/>
      </rPr>
      <t>Producción de biogás a partir del tratamiento de ultrasonido</t>
    </r>
  </si>
  <si>
    <r>
      <rPr>
        <sz val="8"/>
        <color theme="1"/>
        <rFont val="Calibri"/>
        <family val="2"/>
        <scheme val="minor"/>
      </rPr>
      <t>Producción total de biogás</t>
    </r>
  </si>
  <si>
    <r>
      <rPr>
        <b/>
        <sz val="8"/>
        <color theme="1"/>
        <rFont val="Calibri"/>
        <family val="2"/>
      </rPr>
      <t>▪ Destrucción</t>
    </r>
    <r>
      <rPr>
        <b/>
        <sz val="8"/>
        <color theme="1"/>
        <rFont val="Calibri"/>
        <family val="2"/>
        <scheme val="minor"/>
      </rPr>
      <t xml:space="preserve"> de VS (kgVS)</t>
    </r>
  </si>
  <si>
    <r>
      <rPr>
        <b/>
        <sz val="8"/>
        <color theme="1"/>
        <rFont val="Calibri"/>
        <family val="2"/>
      </rPr>
      <t>▪ Sedimentador primario (PST)</t>
    </r>
  </si>
  <si>
    <r>
      <rPr>
        <sz val="8"/>
        <color theme="1"/>
        <rFont val="Calibri"/>
        <family val="2"/>
        <scheme val="minor"/>
      </rPr>
      <t>Volumen del PST</t>
    </r>
  </si>
  <si>
    <r>
      <rPr>
        <b/>
        <sz val="8"/>
        <color theme="1"/>
        <rFont val="Calibri"/>
        <family val="2"/>
      </rPr>
      <t>▪ Tanque de aireación (AT)</t>
    </r>
  </si>
  <si>
    <r>
      <rPr>
        <sz val="8"/>
        <color theme="1"/>
        <rFont val="Calibri"/>
        <family val="2"/>
        <scheme val="minor"/>
      </rPr>
      <t>Eficiencia de remoción de BOD</t>
    </r>
    <r>
      <rPr>
        <vertAlign val="subscript"/>
        <sz val="8"/>
        <color theme="1"/>
        <rFont val="Calibri"/>
        <family val="2"/>
        <scheme val="minor"/>
      </rPr>
      <t>5</t>
    </r>
    <r>
      <rPr>
        <sz val="8"/>
        <color theme="1"/>
        <rFont val="Calibri"/>
        <family val="2"/>
        <scheme val="minor"/>
      </rPr>
      <t xml:space="preserve"> del PST</t>
    </r>
  </si>
  <si>
    <r>
      <rPr>
        <sz val="8"/>
        <color theme="1"/>
        <rFont val="Calibri"/>
        <family val="2"/>
        <scheme val="minor"/>
      </rPr>
      <t>Carga promedio del afluente de BOD</t>
    </r>
    <r>
      <rPr>
        <vertAlign val="subscript"/>
        <sz val="8"/>
        <color theme="1"/>
        <rFont val="Calibri"/>
        <family val="2"/>
        <scheme val="minor"/>
      </rPr>
      <t>5</t>
    </r>
    <r>
      <rPr>
        <sz val="8"/>
        <color theme="1"/>
        <rFont val="Calibri"/>
        <family val="2"/>
        <scheme val="minor"/>
      </rPr>
      <t xml:space="preserve"> </t>
    </r>
  </si>
  <si>
    <r>
      <rPr>
        <sz val="8"/>
        <color theme="1"/>
        <rFont val="Calibri"/>
        <family val="2"/>
        <scheme val="minor"/>
      </rPr>
      <t>Carga promedio del afluente de TSS</t>
    </r>
  </si>
  <si>
    <r>
      <rPr>
        <sz val="8"/>
        <color theme="1"/>
        <rFont val="Calibri"/>
        <family val="2"/>
        <scheme val="minor"/>
      </rPr>
      <t>Volumen requerido del digestor</t>
    </r>
  </si>
  <si>
    <r>
      <rPr>
        <u/>
        <sz val="8"/>
        <color theme="1"/>
        <rFont val="Calibri"/>
        <family val="2"/>
        <scheme val="minor"/>
      </rPr>
      <t>LODO PARA ELIMINACIÓN / REUTILIZACIÓN</t>
    </r>
  </si>
  <si>
    <r>
      <rPr>
        <sz val="8"/>
        <color theme="1"/>
        <rFont val="Calibri"/>
        <family val="2"/>
        <scheme val="minor"/>
      </rPr>
      <t>Producción promedio total de DS</t>
    </r>
  </si>
  <si>
    <r>
      <rPr>
        <sz val="8"/>
        <color theme="1"/>
        <rFont val="Calibri"/>
        <family val="2"/>
        <scheme val="minor"/>
      </rPr>
      <t>Producción total de DS específico</t>
    </r>
  </si>
  <si>
    <r>
      <rPr>
        <sz val="8"/>
        <rFont val="Calibri"/>
        <family val="2"/>
        <scheme val="minor"/>
      </rPr>
      <t>gDS/PE</t>
    </r>
    <r>
      <rPr>
        <vertAlign val="subscript"/>
        <sz val="8"/>
        <rFont val="Calibri"/>
        <family val="2"/>
        <scheme val="minor"/>
      </rPr>
      <t>60</t>
    </r>
    <r>
      <rPr>
        <sz val="8"/>
        <rFont val="Calibri"/>
        <family val="2"/>
        <scheme val="minor"/>
      </rPr>
      <t>/d</t>
    </r>
  </si>
  <si>
    <r>
      <rPr>
        <sz val="8"/>
        <rFont val="Calibri"/>
        <family val="2"/>
        <scheme val="minor"/>
      </rPr>
      <t>gDS/cap/d</t>
    </r>
  </si>
  <si>
    <r>
      <rPr>
        <sz val="8"/>
        <color theme="1"/>
        <rFont val="Calibri"/>
        <family val="2"/>
        <scheme val="minor"/>
      </rPr>
      <t>Producción total de biogás específico</t>
    </r>
  </si>
  <si>
    <r>
      <rPr>
        <sz val="8"/>
        <rFont val="Calibri"/>
        <family val="2"/>
        <scheme val="minor"/>
      </rPr>
      <t>L/PE</t>
    </r>
    <r>
      <rPr>
        <vertAlign val="subscript"/>
        <sz val="8"/>
        <rFont val="Calibri"/>
        <family val="2"/>
        <scheme val="minor"/>
      </rPr>
      <t>60</t>
    </r>
    <r>
      <rPr>
        <sz val="8"/>
        <rFont val="Calibri"/>
        <family val="2"/>
        <scheme val="minor"/>
      </rPr>
      <t>/d</t>
    </r>
  </si>
  <si>
    <r>
      <rPr>
        <sz val="8"/>
        <rFont val="Calibri"/>
        <family val="2"/>
        <scheme val="minor"/>
      </rPr>
      <t>L/cap/d</t>
    </r>
  </si>
  <si>
    <r>
      <rPr>
        <sz val="8"/>
        <rFont val="Calibri"/>
        <family val="2"/>
        <scheme val="minor"/>
      </rPr>
      <t>% CH</t>
    </r>
    <r>
      <rPr>
        <vertAlign val="subscript"/>
        <sz val="8"/>
        <rFont val="Calibri"/>
        <family val="2"/>
        <scheme val="minor"/>
      </rPr>
      <t>4</t>
    </r>
  </si>
  <si>
    <r>
      <rPr>
        <sz val="8"/>
        <color theme="1"/>
        <rFont val="Calibri"/>
        <family val="2"/>
        <scheme val="minor"/>
      </rPr>
      <t>Metano presente en el biogás a partir del PS+WAS</t>
    </r>
  </si>
  <si>
    <r>
      <rPr>
        <sz val="8"/>
        <color theme="1"/>
        <rFont val="Calibri"/>
        <family val="2"/>
        <scheme val="minor"/>
      </rPr>
      <t>Metano presente en el biogás a partir de materia prima orgánica</t>
    </r>
  </si>
  <si>
    <r>
      <rPr>
        <sz val="8"/>
        <color theme="1"/>
        <rFont val="Calibri"/>
        <family val="2"/>
        <scheme val="minor"/>
      </rPr>
      <t>Metano en la producción total de biogás</t>
    </r>
  </si>
  <si>
    <r>
      <rPr>
        <b/>
        <sz val="8"/>
        <color theme="1"/>
        <rFont val="Calibri"/>
        <family val="2"/>
      </rPr>
      <t>▪ Contenido de metano del biogás</t>
    </r>
  </si>
  <si>
    <r>
      <rPr>
        <b/>
        <sz val="12"/>
        <color theme="1"/>
        <rFont val="Calibri"/>
        <family val="2"/>
        <scheme val="minor"/>
      </rPr>
      <t>(Nombre de la planta de tratamiento)</t>
    </r>
  </si>
  <si>
    <r>
      <rPr>
        <sz val="10"/>
        <color theme="1"/>
        <rFont val="Calibri"/>
        <family val="2"/>
        <scheme val="minor"/>
      </rPr>
      <t>(Fecha)</t>
    </r>
  </si>
  <si>
    <r>
      <rPr>
        <sz val="8"/>
        <color theme="1"/>
        <rFont val="Calibri"/>
        <family val="2"/>
        <scheme val="minor"/>
      </rPr>
      <t>Aumento previsto en el rendimiento de biogás a partir de lodo</t>
    </r>
  </si>
  <si>
    <r>
      <rPr>
        <sz val="8"/>
        <color theme="1"/>
        <rFont val="Calibri"/>
        <family val="2"/>
        <scheme val="minor"/>
      </rPr>
      <t>Generación de electricidad a partir de biogás</t>
    </r>
  </si>
  <si>
    <r>
      <rPr>
        <sz val="8"/>
        <rFont val="Calibri"/>
        <family val="2"/>
        <scheme val="minor"/>
      </rPr>
      <t>% de consumo</t>
    </r>
  </si>
  <si>
    <r>
      <rPr>
        <b/>
        <sz val="8"/>
        <color theme="1"/>
        <rFont val="Calibri"/>
        <family val="2"/>
      </rPr>
      <t>▪ Electricidad</t>
    </r>
  </si>
  <si>
    <r>
      <rPr>
        <b/>
        <sz val="8"/>
        <color theme="1"/>
        <rFont val="Calibri"/>
        <family val="2"/>
      </rPr>
      <t>▪ Energía térmica</t>
    </r>
  </si>
  <si>
    <r>
      <rPr>
        <sz val="8"/>
        <color theme="1"/>
        <rFont val="Calibri"/>
        <family val="2"/>
        <scheme val="minor"/>
      </rPr>
      <t>¿Está previsto contar con un PST?</t>
    </r>
  </si>
  <si>
    <r>
      <rPr>
        <sz val="8"/>
        <rFont val="Calibri"/>
        <family val="2"/>
        <scheme val="minor"/>
      </rPr>
      <t>US$/kWh</t>
    </r>
  </si>
  <si>
    <r>
      <rPr>
        <sz val="8"/>
        <color theme="1"/>
        <rFont val="Calibri"/>
        <family val="2"/>
        <scheme val="minor"/>
      </rPr>
      <t>Reducción del costo de electricidad</t>
    </r>
  </si>
  <si>
    <r>
      <rPr>
        <sz val="8"/>
        <rFont val="Calibri"/>
        <family val="2"/>
        <scheme val="minor"/>
      </rPr>
      <t>US$/d</t>
    </r>
  </si>
  <si>
    <r>
      <rPr>
        <sz val="8"/>
        <rFont val="Calibri"/>
        <family val="2"/>
        <scheme val="minor"/>
      </rPr>
      <t>US$/año</t>
    </r>
  </si>
  <si>
    <r>
      <rPr>
        <sz val="8"/>
        <color theme="1"/>
        <rFont val="Calibri"/>
        <family val="2"/>
        <scheme val="minor"/>
      </rPr>
      <t>Costo unitario de evacuación de lodo</t>
    </r>
  </si>
  <si>
    <r>
      <rPr>
        <sz val="8"/>
        <rFont val="Calibri"/>
        <family val="2"/>
        <scheme val="minor"/>
      </rPr>
      <t>US$/m</t>
    </r>
    <r>
      <rPr>
        <vertAlign val="superscript"/>
        <sz val="8"/>
        <rFont val="Calibri"/>
        <family val="2"/>
        <scheme val="minor"/>
      </rPr>
      <t>3</t>
    </r>
  </si>
  <si>
    <r>
      <rPr>
        <sz val="8"/>
        <rFont val="Calibri"/>
        <family val="2"/>
        <scheme val="minor"/>
      </rPr>
      <t>US$/personal/año</t>
    </r>
  </si>
  <si>
    <r>
      <rPr>
        <sz val="8"/>
        <color theme="1"/>
        <rFont val="Calibri"/>
        <family val="2"/>
        <scheme val="minor"/>
      </rPr>
      <t>Sedimentador primario</t>
    </r>
  </si>
  <si>
    <r>
      <rPr>
        <sz val="8"/>
        <color theme="1"/>
        <rFont val="Calibri"/>
        <family val="2"/>
        <scheme val="minor"/>
      </rPr>
      <t>Reducción del volumen en el tanque de aireación</t>
    </r>
  </si>
  <si>
    <r>
      <rPr>
        <sz val="8"/>
        <color theme="1"/>
        <rFont val="Calibri"/>
        <family val="2"/>
        <scheme val="minor"/>
      </rPr>
      <t>Volumen del digestor</t>
    </r>
  </si>
  <si>
    <r>
      <rPr>
        <sz val="8"/>
        <color theme="1"/>
        <rFont val="Calibri"/>
        <family val="2"/>
        <scheme val="minor"/>
      </rPr>
      <t>Volumen del almacenador de biogás</t>
    </r>
  </si>
  <si>
    <r>
      <rPr>
        <sz val="8"/>
        <rFont val="Calibri"/>
        <family val="2"/>
        <scheme val="minor"/>
      </rPr>
      <t>% de producción de gas diaria</t>
    </r>
  </si>
  <si>
    <r>
      <rPr>
        <sz val="8"/>
        <color theme="1"/>
        <rFont val="Calibri"/>
        <family val="2"/>
        <scheme val="minor"/>
      </rPr>
      <t>Volumen requerido del almacenador de biogás</t>
    </r>
  </si>
  <si>
    <r>
      <rPr>
        <sz val="8"/>
        <rFont val="Calibri"/>
        <family val="2"/>
        <scheme val="minor"/>
      </rPr>
      <t>kW / unidad</t>
    </r>
  </si>
  <si>
    <r>
      <rPr>
        <sz val="8"/>
        <color theme="1"/>
        <rFont val="Calibri"/>
        <family val="2"/>
        <scheme val="minor"/>
      </rPr>
      <t>Limpieza de biogás</t>
    </r>
  </si>
  <si>
    <r>
      <rPr>
        <sz val="8"/>
        <rFont val="Calibri"/>
        <family val="2"/>
        <scheme val="minor"/>
      </rPr>
      <t>¡Verificar requisitos específicos!</t>
    </r>
  </si>
  <si>
    <r>
      <rPr>
        <sz val="8"/>
        <rFont val="Calibri"/>
        <family val="2"/>
        <scheme val="minor"/>
      </rPr>
      <t>NO</t>
    </r>
  </si>
  <si>
    <r>
      <rPr>
        <sz val="8"/>
        <rFont val="Calibri"/>
        <family val="2"/>
        <scheme val="minor"/>
      </rPr>
      <t>SÍ</t>
    </r>
  </si>
  <si>
    <r>
      <rPr>
        <sz val="8"/>
        <color theme="1"/>
        <rFont val="Calibri"/>
        <family val="2"/>
        <scheme val="minor"/>
      </rPr>
      <t>Sistema de tuberías de biogás, brote, etc.</t>
    </r>
  </si>
  <si>
    <r>
      <rPr>
        <b/>
        <sz val="9"/>
        <color theme="0"/>
        <rFont val="Calibri"/>
        <family val="2"/>
        <scheme val="minor"/>
      </rPr>
      <t>FILTRO PERCOLADOR + DIGESTOR DE LODO</t>
    </r>
  </si>
  <si>
    <r>
      <rPr>
        <b/>
        <sz val="8"/>
        <color theme="1"/>
        <rFont val="Calibri"/>
        <family val="2"/>
      </rPr>
      <t>▪ FILTRO PERCOLADOR (TF)</t>
    </r>
  </si>
  <si>
    <r>
      <rPr>
        <b/>
        <sz val="8"/>
        <color theme="1"/>
        <rFont val="Calibri"/>
        <family val="2"/>
      </rPr>
      <t>▪ Lodo primario</t>
    </r>
  </si>
  <si>
    <r>
      <rPr>
        <b/>
        <sz val="8"/>
        <color theme="1"/>
        <rFont val="Calibri"/>
        <family val="2"/>
      </rPr>
      <t>▪ Lodo secundario</t>
    </r>
  </si>
  <si>
    <r>
      <rPr>
        <sz val="8"/>
        <color theme="1"/>
        <rFont val="Calibri"/>
        <family val="2"/>
        <scheme val="minor"/>
      </rPr>
      <t>Producción bruta diaria de TFS (DS)</t>
    </r>
  </si>
  <si>
    <r>
      <rPr>
        <sz val="8"/>
        <color theme="1"/>
        <rFont val="Calibri"/>
        <family val="2"/>
        <scheme val="minor"/>
      </rPr>
      <t>DS después del espesamiento del TFS</t>
    </r>
  </si>
  <si>
    <r>
      <rPr>
        <sz val="8"/>
        <color theme="1"/>
        <rFont val="Calibri"/>
        <family val="2"/>
        <scheme val="minor"/>
      </rPr>
      <t>VS/DS después del espesamiento del TFS</t>
    </r>
  </si>
  <si>
    <r>
      <rPr>
        <sz val="8"/>
        <color theme="1"/>
        <rFont val="Calibri"/>
        <family val="2"/>
        <scheme val="minor"/>
      </rPr>
      <t>Alimentación promedio de TFS</t>
    </r>
  </si>
  <si>
    <r>
      <rPr>
        <sz val="8"/>
        <color theme="1"/>
        <rFont val="Calibri"/>
        <family val="2"/>
        <scheme val="minor"/>
      </rPr>
      <t>VS promedio de la destrucción de TFS</t>
    </r>
  </si>
  <si>
    <r>
      <rPr>
        <sz val="8"/>
        <color theme="1"/>
        <rFont val="Calibri"/>
        <family val="2"/>
        <scheme val="minor"/>
      </rPr>
      <t>Rendimiento de biogás a partir de TFS</t>
    </r>
  </si>
  <si>
    <r>
      <rPr>
        <sz val="8"/>
        <color theme="1"/>
        <rFont val="Calibri"/>
        <family val="2"/>
        <scheme val="minor"/>
      </rPr>
      <t>Producción de biogás a partir de TFS</t>
    </r>
  </si>
  <si>
    <r>
      <rPr>
        <sz val="8"/>
        <color theme="1"/>
        <rFont val="Calibri"/>
        <family val="2"/>
        <scheme val="minor"/>
      </rPr>
      <t>Consumo de electricidad de TF-WWTP</t>
    </r>
  </si>
  <si>
    <r>
      <rPr>
        <sz val="8"/>
        <color theme="1"/>
        <rFont val="Calibri"/>
        <family val="2"/>
        <scheme val="minor"/>
      </rPr>
      <t>Consumo de electricidad de CAS-WWTP</t>
    </r>
  </si>
  <si>
    <r>
      <rPr>
        <b/>
        <u/>
        <sz val="9"/>
        <rFont val="Calibri"/>
        <family val="2"/>
        <scheme val="minor"/>
      </rPr>
      <t>UASB</t>
    </r>
  </si>
  <si>
    <r>
      <rPr>
        <b/>
        <sz val="8"/>
        <color theme="1"/>
        <rFont val="Calibri"/>
        <family val="2"/>
      </rPr>
      <t>▪ UASB</t>
    </r>
  </si>
  <si>
    <r>
      <rPr>
        <sz val="8"/>
        <color theme="1"/>
        <rFont val="Calibri"/>
        <family val="2"/>
        <scheme val="minor"/>
      </rPr>
      <t>Producción bruta diaria del UASB-S (DS)</t>
    </r>
  </si>
  <si>
    <r>
      <rPr>
        <sz val="8"/>
        <color theme="1"/>
        <rFont val="Calibri"/>
        <family val="2"/>
        <scheme val="minor"/>
      </rPr>
      <t>DS después del espesamiento del UASB-S</t>
    </r>
  </si>
  <si>
    <r>
      <rPr>
        <sz val="8"/>
        <color theme="1"/>
        <rFont val="Calibri"/>
        <family val="2"/>
        <scheme val="minor"/>
      </rPr>
      <t>DS del lodo cuando se ha retirado del UASB</t>
    </r>
  </si>
  <si>
    <r>
      <rPr>
        <sz val="8"/>
        <color theme="1"/>
        <rFont val="Calibri"/>
        <family val="2"/>
        <scheme val="minor"/>
      </rPr>
      <t>VS/DS después del espesamiento del UASB-S</t>
    </r>
  </si>
  <si>
    <r>
      <rPr>
        <sz val="8"/>
        <rFont val="Calibri"/>
        <family val="2"/>
        <scheme val="minor"/>
      </rPr>
      <t>L/kgBOD</t>
    </r>
    <r>
      <rPr>
        <vertAlign val="subscript"/>
        <sz val="8"/>
        <rFont val="Calibri"/>
        <family val="2"/>
        <scheme val="minor"/>
      </rPr>
      <t>5,added</t>
    </r>
    <r>
      <rPr>
        <sz val="8"/>
        <rFont val="Calibri"/>
        <family val="2"/>
        <scheme val="minor"/>
      </rPr>
      <t>/d</t>
    </r>
  </si>
  <si>
    <r>
      <rPr>
        <sz val="8"/>
        <color theme="1"/>
        <rFont val="Calibri"/>
        <family val="2"/>
        <scheme val="minor"/>
      </rPr>
      <t>Producción de biogás</t>
    </r>
  </si>
  <si>
    <r>
      <rPr>
        <sz val="8"/>
        <color theme="1"/>
        <rFont val="Calibri"/>
        <family val="2"/>
        <scheme val="minor"/>
      </rPr>
      <t>Metano presente en el biogás a partir del UASB</t>
    </r>
  </si>
  <si>
    <r>
      <rPr>
        <sz val="8"/>
        <color theme="1"/>
        <rFont val="Calibri"/>
        <family val="2"/>
        <scheme val="minor"/>
      </rPr>
      <t>Consumo de electricidad del UASB-WWTP</t>
    </r>
  </si>
  <si>
    <r>
      <rPr>
        <b/>
        <u/>
        <sz val="9"/>
        <rFont val="Calibri"/>
        <family val="2"/>
        <scheme val="minor"/>
      </rPr>
      <t>LAGUNA ANAEROBIA CUBIERTA</t>
    </r>
  </si>
  <si>
    <r>
      <rPr>
        <b/>
        <sz val="8"/>
        <color theme="1"/>
        <rFont val="Calibri"/>
        <family val="2"/>
      </rPr>
      <t>▪ Laguna anaerobia cubierta</t>
    </r>
  </si>
  <si>
    <r>
      <rPr>
        <sz val="8"/>
        <rFont val="Calibri"/>
        <family val="2"/>
        <scheme val="minor"/>
      </rPr>
      <t>kgDS/cap/a</t>
    </r>
  </si>
  <si>
    <r>
      <rPr>
        <sz val="8"/>
        <color theme="1"/>
        <rFont val="Calibri"/>
        <family val="2"/>
        <scheme val="minor"/>
      </rPr>
      <t>Producción bruta diaria de AP-S (DS)</t>
    </r>
  </si>
  <si>
    <r>
      <rPr>
        <sz val="8"/>
        <color theme="1"/>
        <rFont val="Calibri"/>
        <family val="2"/>
        <scheme val="minor"/>
      </rPr>
      <t>DS del lodo cuando se ha retirado del AP</t>
    </r>
  </si>
  <si>
    <r>
      <rPr>
        <sz val="8"/>
        <color theme="1"/>
        <rFont val="Calibri"/>
        <family val="2"/>
        <scheme val="minor"/>
      </rPr>
      <t xml:space="preserve">VS/DS de AP-S </t>
    </r>
  </si>
  <si>
    <r>
      <rPr>
        <sz val="8"/>
        <rFont val="Calibri"/>
        <family val="2"/>
        <scheme val="minor"/>
      </rPr>
      <t>L CH</t>
    </r>
    <r>
      <rPr>
        <vertAlign val="subscript"/>
        <sz val="8"/>
        <rFont val="Calibri"/>
        <family val="2"/>
        <scheme val="minor"/>
      </rPr>
      <t>4</t>
    </r>
    <r>
      <rPr>
        <sz val="8"/>
        <rFont val="Calibri"/>
        <family val="2"/>
        <scheme val="minor"/>
      </rPr>
      <t>/kgBOD</t>
    </r>
    <r>
      <rPr>
        <vertAlign val="subscript"/>
        <sz val="8"/>
        <rFont val="Calibri"/>
        <family val="2"/>
        <scheme val="minor"/>
      </rPr>
      <t>5</t>
    </r>
  </si>
  <si>
    <r>
      <rPr>
        <sz val="8"/>
        <color theme="1"/>
        <rFont val="Calibri"/>
        <family val="2"/>
        <scheme val="minor"/>
      </rPr>
      <t>Producción de CH</t>
    </r>
    <r>
      <rPr>
        <vertAlign val="subscript"/>
        <sz val="8"/>
        <color theme="1"/>
        <rFont val="Calibri"/>
        <family val="2"/>
        <scheme val="minor"/>
      </rPr>
      <t>4</t>
    </r>
  </si>
  <si>
    <r>
      <rPr>
        <sz val="8"/>
        <color theme="1"/>
        <rFont val="Calibri"/>
        <family val="2"/>
        <scheme val="minor"/>
      </rPr>
      <t>Consumo de electricidad de AP-WWTP</t>
    </r>
  </si>
  <si>
    <r>
      <rPr>
        <sz val="8"/>
        <color theme="1"/>
        <rFont val="Calibri"/>
        <family val="2"/>
        <scheme val="minor"/>
      </rPr>
      <t xml:space="preserve">Cubierta en AP </t>
    </r>
  </si>
  <si>
    <r>
      <rPr>
        <sz val="8"/>
        <rFont val="Calibri"/>
        <family val="2"/>
        <scheme val="minor"/>
      </rPr>
      <t>¡Verificar el diseño específico del AP!</t>
    </r>
  </si>
  <si>
    <r>
      <rPr>
        <sz val="8"/>
        <rFont val="Calibri"/>
        <family val="2"/>
        <scheme val="minor"/>
      </rPr>
      <t>m</t>
    </r>
    <r>
      <rPr>
        <vertAlign val="superscript"/>
        <sz val="8"/>
        <rFont val="Calibri"/>
        <family val="2"/>
        <scheme val="minor"/>
      </rPr>
      <t>2</t>
    </r>
  </si>
  <si>
    <r>
      <rPr>
        <b/>
        <sz val="9"/>
        <color theme="0"/>
        <rFont val="Calibri"/>
        <family val="2"/>
        <scheme val="minor"/>
      </rPr>
      <t>DATOS GENERALES</t>
    </r>
  </si>
  <si>
    <r>
      <rPr>
        <sz val="8"/>
        <color theme="1"/>
        <rFont val="Calibri"/>
        <family val="2"/>
        <scheme val="minor"/>
      </rPr>
      <t>CHP: Eficiencia de la generación de energía eléctrica</t>
    </r>
  </si>
  <si>
    <r>
      <rPr>
        <sz val="8"/>
        <color theme="1"/>
        <rFont val="Calibri"/>
        <family val="2"/>
        <scheme val="minor"/>
      </rPr>
      <t>CHP: Eficiencia de la generación de energía térmica</t>
    </r>
  </si>
  <si>
    <r>
      <rPr>
        <sz val="8"/>
        <color theme="1"/>
        <rFont val="Calibri"/>
        <family val="2"/>
        <scheme val="minor"/>
      </rPr>
      <t>CHP: Generación de electricidad a partir de biogás</t>
    </r>
  </si>
  <si>
    <r>
      <rPr>
        <sz val="8"/>
        <color theme="1"/>
        <rFont val="Calibri"/>
        <family val="2"/>
        <scheme val="minor"/>
      </rPr>
      <t>Metano presente en el biogás a partir del PS+TFS</t>
    </r>
  </si>
  <si>
    <r>
      <rPr>
        <sz val="8"/>
        <color theme="1"/>
        <rFont val="Calibri"/>
        <family val="2"/>
        <scheme val="minor"/>
      </rPr>
      <t>¿Deberá incluir el tratamiento de lodos con ultrasonido previo al digestor?</t>
    </r>
  </si>
  <si>
    <r>
      <rPr>
        <b/>
        <sz val="8"/>
        <color theme="1"/>
        <rFont val="Calibri"/>
        <family val="2"/>
      </rPr>
      <t>▪ Generación de electricidad</t>
    </r>
  </si>
  <si>
    <r>
      <rPr>
        <b/>
        <sz val="8"/>
        <color theme="1"/>
        <rFont val="Calibri"/>
        <family val="2"/>
      </rPr>
      <t>▪ Generación de energía térmica</t>
    </r>
  </si>
  <si>
    <r>
      <rPr>
        <b/>
        <u/>
        <sz val="9"/>
        <rFont val="Calibri"/>
        <family val="2"/>
        <scheme val="minor"/>
      </rPr>
      <t>CAS + DIGESTOR</t>
    </r>
  </si>
  <si>
    <r>
      <rPr>
        <b/>
        <u/>
        <sz val="9"/>
        <rFont val="Calibri"/>
        <family val="2"/>
        <scheme val="minor"/>
      </rPr>
      <t>FILTRO PERCOLADOR + DIGESTOR</t>
    </r>
  </si>
  <si>
    <r>
      <rPr>
        <sz val="8"/>
        <color theme="1"/>
        <rFont val="Calibri"/>
        <family val="2"/>
        <scheme val="minor"/>
      </rPr>
      <t>Incluyendo la desintegración de lodo por ultrasonido</t>
    </r>
  </si>
  <si>
    <r>
      <rPr>
        <sz val="8"/>
        <color theme="1"/>
        <rFont val="Calibri"/>
        <family val="2"/>
        <scheme val="minor"/>
      </rPr>
      <t>Tratamiento previo de residuos orgánicos</t>
    </r>
  </si>
  <si>
    <r>
      <rPr>
        <sz val="8"/>
        <color theme="1"/>
        <rFont val="Calibri"/>
        <family val="2"/>
        <scheme val="minor"/>
      </rPr>
      <t>Instalaciones de desintegración de lodo por ultrasonido</t>
    </r>
  </si>
  <si>
    <r>
      <rPr>
        <sz val="8"/>
        <color theme="1"/>
        <rFont val="Calibri"/>
        <family val="2"/>
        <scheme val="minor"/>
      </rPr>
      <t>Digestor</t>
    </r>
  </si>
  <si>
    <r>
      <rPr>
        <sz val="8"/>
        <rFont val="Calibri"/>
        <family val="2"/>
        <scheme val="minor"/>
      </rPr>
      <t>días</t>
    </r>
  </si>
  <si>
    <r>
      <t xml:space="preserve">Clave de desbloqueo:  </t>
    </r>
    <r>
      <rPr>
        <b/>
        <sz val="11"/>
        <color theme="1"/>
        <rFont val="Calibri"/>
        <family val="2"/>
        <scheme val="minor"/>
      </rPr>
      <t>W2E</t>
    </r>
  </si>
  <si>
    <r>
      <rPr>
        <sz val="8"/>
        <rFont val="Calibri"/>
        <family val="2"/>
        <scheme val="minor"/>
      </rPr>
      <t>(Nota: 1 PE</t>
    </r>
    <r>
      <rPr>
        <vertAlign val="subscript"/>
        <sz val="8"/>
        <rFont val="Calibri"/>
        <family val="2"/>
        <scheme val="minor"/>
      </rPr>
      <t>60</t>
    </r>
    <r>
      <rPr>
        <sz val="8"/>
        <rFont val="Calibri"/>
        <family val="2"/>
        <scheme val="minor"/>
      </rPr>
      <t xml:space="preserve"> = 60 g BOD</t>
    </r>
    <r>
      <rPr>
        <vertAlign val="subscript"/>
        <sz val="8"/>
        <rFont val="Calibri"/>
        <family val="2"/>
        <scheme val="minor"/>
      </rPr>
      <t>5</t>
    </r>
    <r>
      <rPr>
        <sz val="8"/>
        <rFont val="Calibri"/>
        <family val="2"/>
        <scheme val="minor"/>
      </rPr>
      <t>/d)</t>
    </r>
  </si>
  <si>
    <r>
      <rPr>
        <sz val="8"/>
        <rFont val="Calibri"/>
        <family val="2"/>
        <scheme val="minor"/>
      </rPr>
      <t>(Nota: 1 cap = xx g BOD</t>
    </r>
    <r>
      <rPr>
        <vertAlign val="subscript"/>
        <sz val="8"/>
        <rFont val="Calibri"/>
        <family val="2"/>
        <scheme val="minor"/>
      </rPr>
      <t>5</t>
    </r>
    <r>
      <rPr>
        <sz val="8"/>
        <rFont val="Calibri"/>
        <family val="2"/>
        <scheme val="minor"/>
      </rPr>
      <t>/d, de conformidad con los datos de entrada específicos del proyecto)</t>
    </r>
  </si>
  <si>
    <r>
      <rPr>
        <b/>
        <sz val="9"/>
        <rFont val="Calibri"/>
        <family val="2"/>
        <scheme val="minor"/>
      </rPr>
      <t>Valor</t>
    </r>
  </si>
  <si>
    <r>
      <rPr>
        <b/>
        <sz val="12"/>
        <color theme="0"/>
        <rFont val="Calibri"/>
        <family val="2"/>
        <scheme val="minor"/>
      </rPr>
      <t>DATOS DE ENTRADA</t>
    </r>
  </si>
  <si>
    <r>
      <rPr>
        <sz val="8"/>
        <rFont val="Calibri"/>
        <family val="2"/>
        <scheme val="minor"/>
      </rPr>
      <t>m</t>
    </r>
    <r>
      <rPr>
        <vertAlign val="superscript"/>
        <sz val="8"/>
        <rFont val="Calibri"/>
        <family val="2"/>
        <scheme val="minor"/>
      </rPr>
      <t>3</t>
    </r>
    <r>
      <rPr>
        <sz val="8"/>
        <rFont val="Calibri"/>
        <family val="2"/>
        <scheme val="minor"/>
      </rPr>
      <t>/d</t>
    </r>
  </si>
  <si>
    <r>
      <rPr>
        <b/>
        <u/>
        <sz val="9"/>
        <color theme="1"/>
        <rFont val="Calibri"/>
        <family val="2"/>
        <scheme val="minor"/>
      </rPr>
      <t>AGUAS RESIDUALES QUE INGRESAN A LA PLANTA</t>
    </r>
  </si>
  <si>
    <r>
      <rPr>
        <b/>
        <u/>
        <sz val="9"/>
        <color theme="1"/>
        <rFont val="Calibri"/>
        <family val="2"/>
        <scheme val="minor"/>
      </rPr>
      <t>EMISIONES DE GASES DE EFECTO INVERNADERO</t>
    </r>
  </si>
  <si>
    <r>
      <rPr>
        <sz val="8"/>
        <rFont val="Calibri"/>
        <family val="2"/>
        <scheme val="minor"/>
      </rPr>
      <t>Brinde un estimado de la concentración prevista de BOD</t>
    </r>
    <r>
      <rPr>
        <vertAlign val="subscript"/>
        <sz val="8"/>
        <rFont val="Calibri"/>
        <family val="2"/>
        <scheme val="minor"/>
      </rPr>
      <t>5</t>
    </r>
    <r>
      <rPr>
        <sz val="8"/>
        <rFont val="Calibri"/>
        <family val="2"/>
        <scheme val="minor"/>
      </rPr>
      <t xml:space="preserve"> que entra a la planta de tratamiento de aguas residuales (WWTP).</t>
    </r>
  </si>
  <si>
    <r>
      <rPr>
        <sz val="8"/>
        <rFont val="Calibri"/>
        <family val="2"/>
        <scheme val="minor"/>
      </rPr>
      <t>g CO</t>
    </r>
    <r>
      <rPr>
        <vertAlign val="subscript"/>
        <sz val="8"/>
        <rFont val="Calibri"/>
        <family val="2"/>
        <scheme val="minor"/>
      </rPr>
      <t>2</t>
    </r>
    <r>
      <rPr>
        <sz val="8"/>
        <rFont val="Calibri"/>
        <family val="2"/>
        <scheme val="minor"/>
      </rPr>
      <t>/kWh</t>
    </r>
  </si>
  <si>
    <r>
      <rPr>
        <b/>
        <u/>
        <sz val="9"/>
        <color theme="1"/>
        <rFont val="Calibri"/>
        <family val="2"/>
        <scheme val="minor"/>
      </rPr>
      <t>COSTO UNITARIO</t>
    </r>
  </si>
  <si>
    <r>
      <rPr>
        <sz val="8"/>
        <rFont val="Calibri"/>
        <family val="2"/>
        <scheme val="minor"/>
      </rPr>
      <t>Coloque el costo unitario dominante localmente para la evacuación/reutilización de lodos</t>
    </r>
  </si>
  <si>
    <r>
      <rPr>
        <sz val="8"/>
        <color theme="1"/>
        <rFont val="Calibri"/>
        <family val="2"/>
        <scheme val="minor"/>
      </rPr>
      <t>Concentración VSS/TSS promedio</t>
    </r>
  </si>
  <si>
    <r>
      <rPr>
        <sz val="8"/>
        <color theme="1"/>
        <rFont val="Calibri"/>
        <family val="2"/>
        <scheme val="minor"/>
      </rPr>
      <t>Concentración TSS/ BOD</t>
    </r>
    <r>
      <rPr>
        <vertAlign val="subscript"/>
        <sz val="8"/>
        <color theme="1"/>
        <rFont val="Calibri"/>
        <family val="2"/>
        <scheme val="minor"/>
      </rPr>
      <t>5</t>
    </r>
    <r>
      <rPr>
        <sz val="8"/>
        <color theme="1"/>
        <rFont val="Calibri"/>
        <family val="2"/>
        <scheme val="minor"/>
      </rPr>
      <t xml:space="preserve"> promedio</t>
    </r>
  </si>
  <si>
    <r>
      <rPr>
        <sz val="8"/>
        <rFont val="Calibri"/>
        <family val="2"/>
        <scheme val="minor"/>
      </rPr>
      <t>Describa el tipo de materia prima orgánica</t>
    </r>
  </si>
  <si>
    <r>
      <rPr>
        <sz val="8"/>
        <color theme="1"/>
        <rFont val="Calibri"/>
        <family val="2"/>
        <scheme val="minor"/>
      </rPr>
      <t>¿Deberá incluir codigestión el tratamiento de lodo?</t>
    </r>
  </si>
  <si>
    <r>
      <rPr>
        <sz val="8"/>
        <rFont val="Calibri"/>
        <family val="2"/>
        <scheme val="minor"/>
      </rPr>
      <t>Típicamente: el mismo valor para la concentración de BOD</t>
    </r>
    <r>
      <rPr>
        <vertAlign val="subscript"/>
        <sz val="8"/>
        <rFont val="Calibri"/>
        <family val="2"/>
        <scheme val="minor"/>
      </rPr>
      <t>5</t>
    </r>
  </si>
  <si>
    <r>
      <rPr>
        <sz val="8"/>
        <rFont val="Calibri"/>
        <family val="2"/>
        <scheme val="minor"/>
      </rPr>
      <t>Típicamente: VSS/TSS = 0.75 (0.6-0.85); en caso de muchos tanques sépticos, este dato podría bajar a 0.2-0.3</t>
    </r>
  </si>
  <si>
    <r>
      <rPr>
        <sz val="8"/>
        <rFont val="Calibri"/>
        <family val="2"/>
        <scheme val="minor"/>
      </rPr>
      <t>(El valor, el cual se calcula aquí, se basa en la comparación con la aireación extendida sin PST. Se toman en cuenta los supuestos siguientes: (i) la aireación requiere 60% del total del consumo de electricidad de la WWTP, (ii) la introducción de PST reduce el requerimiento de aireación de acuerdo con su eficiencia de remoción de la demanda biológica de oxígeno.)</t>
    </r>
  </si>
  <si>
    <r>
      <rPr>
        <sz val="8"/>
        <rFont val="Calibri"/>
        <family val="2"/>
        <scheme val="minor"/>
      </rPr>
      <t xml:space="preserve">(El valor que aquí se calcula se basa en los supuestos siguientes: (i) El costo de mantenimiento adicional equivale a 1%/año del requerimiento CAPEX europeo para un sistema de mesófilos para digestión de lodos, (ii) el requerimiento CAPEX europeo para un sistema de digestión equivale a 81098 x PE60 </t>
    </r>
    <r>
      <rPr>
        <vertAlign val="superscript"/>
        <sz val="8"/>
        <rFont val="Calibri"/>
        <family val="2"/>
        <scheme val="minor"/>
      </rPr>
      <t>(-0.684)</t>
    </r>
    <r>
      <rPr>
        <sz val="8"/>
        <rFont val="Calibri"/>
        <family val="2"/>
        <scheme val="minor"/>
      </rPr>
      <t>, (iii) EUR/US$ = 1.3)</t>
    </r>
  </si>
  <si>
    <r>
      <rPr>
        <sz val="8"/>
        <rFont val="Calibri"/>
        <family val="2"/>
        <scheme val="minor"/>
      </rPr>
      <t>(Mismo supuesto que el anterior para CAS + Digestión)</t>
    </r>
  </si>
  <si>
    <r>
      <rPr>
        <sz val="8"/>
        <color theme="1"/>
        <rFont val="Calibri"/>
        <family val="2"/>
        <scheme val="minor"/>
      </rPr>
      <t>Incluyendo la codigestión</t>
    </r>
  </si>
  <si>
    <r>
      <rPr>
        <sz val="8"/>
        <rFont val="Calibri"/>
        <family val="2"/>
        <scheme val="minor"/>
      </rPr>
      <t>(El ahorro es equivalente a la producción de electricidad a partir del biogás)</t>
    </r>
  </si>
  <si>
    <r>
      <rPr>
        <sz val="8"/>
        <rFont val="Calibri"/>
        <family val="2"/>
        <scheme val="minor"/>
      </rPr>
      <t xml:space="preserve">Supuesto: tiempo de operación promedio = 20 h/d </t>
    </r>
  </si>
  <si>
    <r>
      <rPr>
        <sz val="8"/>
        <rFont val="Calibri"/>
        <family val="2"/>
        <scheme val="minor"/>
      </rPr>
      <t>Basado en 2 unidades</t>
    </r>
  </si>
  <si>
    <r>
      <rPr>
        <sz val="8"/>
        <rFont val="Calibri"/>
        <family val="2"/>
        <scheme val="minor"/>
      </rPr>
      <t>Típicamente: 13 (7-16)</t>
    </r>
  </si>
  <si>
    <r>
      <rPr>
        <sz val="8"/>
        <rFont val="Calibri"/>
        <family val="2"/>
        <scheme val="minor"/>
      </rPr>
      <t>(El valor, el cual se calcula aquí, se basa en el costo adicional de mantenimiento para el CHP por kWh producido = 12.321 x kWelectr</t>
    </r>
    <r>
      <rPr>
        <vertAlign val="superscript"/>
        <sz val="8"/>
        <rFont val="Calibri"/>
        <family val="2"/>
        <scheme val="minor"/>
      </rPr>
      <t>(-0.422)</t>
    </r>
    <r>
      <rPr>
        <sz val="8"/>
        <rFont val="Calibri"/>
        <family val="2"/>
        <scheme val="minor"/>
      </rPr>
      <t>). Depende del tamaño del CHP, esto implica gastos de funcionamiento (OPEX) de 0.5-4.0 centavos/kWh</t>
    </r>
    <r>
      <rPr>
        <vertAlign val="subscript"/>
        <sz val="8"/>
        <rFont val="Calibri"/>
        <family val="2"/>
        <scheme val="minor"/>
      </rPr>
      <t>electr</t>
    </r>
  </si>
  <si>
    <r>
      <rPr>
        <sz val="8"/>
        <rFont val="Calibri"/>
        <family val="2"/>
        <scheme val="minor"/>
      </rPr>
      <t>Típicamente: 14-20</t>
    </r>
  </si>
  <si>
    <r>
      <rPr>
        <sz val="8"/>
        <rFont val="Calibri"/>
        <family val="2"/>
        <scheme val="minor"/>
      </rPr>
      <t>Típicamente: 250 (230-330)</t>
    </r>
  </si>
  <si>
    <r>
      <rPr>
        <b/>
        <sz val="9"/>
        <rFont val="Calibri"/>
        <family val="2"/>
        <scheme val="minor"/>
      </rPr>
      <t>Resultado</t>
    </r>
  </si>
  <si>
    <r>
      <rPr>
        <sz val="8"/>
        <color theme="1"/>
        <rFont val="Calibri"/>
        <family val="2"/>
        <scheme val="minor"/>
      </rPr>
      <t>Cobertura de electricidad de la planta de tratamiento (WWTP) a partir del biogás</t>
    </r>
  </si>
  <si>
    <r>
      <rPr>
        <u/>
        <sz val="8"/>
        <color theme="1"/>
        <rFont val="Calibri"/>
        <family val="2"/>
        <scheme val="minor"/>
      </rPr>
      <t>AHORROS DE GASTOS DE FUNCIONAMIENTO</t>
    </r>
  </si>
  <si>
    <r>
      <rPr>
        <u/>
        <sz val="8"/>
        <color theme="1"/>
        <rFont val="Calibri"/>
        <family val="2"/>
        <scheme val="minor"/>
      </rPr>
      <t>REQUISITOS DE INSTALACIÓN</t>
    </r>
  </si>
  <si>
    <r>
      <rPr>
        <sz val="8"/>
        <color theme="1"/>
        <rFont val="Calibri"/>
        <family val="2"/>
        <scheme val="minor"/>
      </rPr>
      <t>Producción de electricidad a partir de biogás renovable</t>
    </r>
  </si>
  <si>
    <r>
      <rPr>
        <sz val="8"/>
        <color theme="1"/>
        <rFont val="Calibri"/>
        <family val="2"/>
        <scheme val="minor"/>
      </rPr>
      <t>Reducción de las emisiones de GEI por medio de electricidad a partir de biogás</t>
    </r>
  </si>
  <si>
    <r>
      <rPr>
        <u/>
        <sz val="8"/>
        <color theme="1"/>
        <rFont val="Calibri"/>
        <family val="2"/>
        <scheme val="minor"/>
      </rPr>
      <t>REDUCCIÓN DE LAS EMISIONES DE GAS DE EFECTO INVERNADERO (GEI)</t>
    </r>
  </si>
  <si>
    <r>
      <rPr>
        <sz val="8"/>
        <color theme="1"/>
        <rFont val="Calibri"/>
        <family val="2"/>
        <scheme val="minor"/>
      </rPr>
      <t>Emisiones de GEI locales a partir de la generación de electricidad</t>
    </r>
  </si>
  <si>
    <r>
      <rPr>
        <b/>
        <sz val="8"/>
        <color rgb="FF0070C0"/>
        <rFont val="Calibri"/>
        <family val="2"/>
        <scheme val="minor"/>
      </rPr>
      <t>Reducción total de las emisiones de GEI</t>
    </r>
  </si>
  <si>
    <r>
      <rPr>
        <sz val="8"/>
        <rFont val="Calibri"/>
        <family val="2"/>
        <scheme val="minor"/>
      </rPr>
      <t>toneladas de CO</t>
    </r>
    <r>
      <rPr>
        <vertAlign val="subscript"/>
        <sz val="8"/>
        <rFont val="Calibri"/>
        <family val="2"/>
        <scheme val="minor"/>
      </rPr>
      <t>2e</t>
    </r>
    <r>
      <rPr>
        <sz val="8"/>
        <rFont val="Calibri"/>
        <family val="2"/>
        <scheme val="minor"/>
      </rPr>
      <t>/año</t>
    </r>
  </si>
  <si>
    <r>
      <rPr>
        <b/>
        <sz val="8"/>
        <color rgb="FF0070C0"/>
        <rFont val="Calibri"/>
        <family val="2"/>
        <scheme val="minor"/>
      </rPr>
      <t>toneladas de CO</t>
    </r>
    <r>
      <rPr>
        <b/>
        <vertAlign val="subscript"/>
        <sz val="8"/>
        <color rgb="FF0070C0"/>
        <rFont val="Calibri"/>
        <family val="2"/>
        <scheme val="minor"/>
      </rPr>
      <t>2e</t>
    </r>
    <r>
      <rPr>
        <b/>
        <sz val="8"/>
        <color rgb="FF0070C0"/>
        <rFont val="Calibri"/>
        <family val="2"/>
        <scheme val="minor"/>
      </rPr>
      <t>/año</t>
    </r>
  </si>
  <si>
    <r>
      <rPr>
        <sz val="8"/>
        <rFont val="Calibri"/>
        <family val="2"/>
        <scheme val="minor"/>
      </rPr>
      <t>Esta es la emisión de CO</t>
    </r>
    <r>
      <rPr>
        <vertAlign val="subscript"/>
        <sz val="8"/>
        <rFont val="Calibri"/>
        <family val="2"/>
        <scheme val="minor"/>
      </rPr>
      <t>2e</t>
    </r>
    <r>
      <rPr>
        <sz val="8"/>
        <rFont val="Calibri"/>
        <family val="2"/>
        <scheme val="minor"/>
      </rPr>
      <t xml:space="preserve"> fósil (evitada) que se evade a través de la utilización de biogás renovable para la generación de energía.</t>
    </r>
  </si>
  <si>
    <r>
      <rPr>
        <sz val="8"/>
        <color theme="1"/>
        <rFont val="Calibri"/>
        <family val="2"/>
        <scheme val="minor"/>
      </rPr>
      <t>Emisión de biogás previo a este proyecto de WWTP</t>
    </r>
  </si>
  <si>
    <r>
      <rPr>
        <sz val="8"/>
        <color theme="1"/>
        <rFont val="Calibri"/>
        <family val="2"/>
        <scheme val="minor"/>
      </rPr>
      <t>Emisión de metano previo a este proyecto de WWTP</t>
    </r>
  </si>
  <si>
    <r>
      <rPr>
        <sz val="8"/>
        <color theme="1"/>
        <rFont val="Calibri"/>
        <family val="2"/>
        <scheme val="minor"/>
      </rPr>
      <t>Factor de GEI para el metano</t>
    </r>
  </si>
  <si>
    <r>
      <rPr>
        <sz val="8"/>
        <color theme="1"/>
        <rFont val="Calibri"/>
        <family val="2"/>
        <scheme val="minor"/>
      </rPr>
      <t>Peso específico del metano</t>
    </r>
  </si>
  <si>
    <r>
      <rPr>
        <sz val="8"/>
        <rFont val="Calibri"/>
        <family val="2"/>
        <scheme val="minor"/>
      </rPr>
      <t>kg/m</t>
    </r>
    <r>
      <rPr>
        <vertAlign val="superscript"/>
        <sz val="8"/>
        <rFont val="Calibri"/>
        <family val="2"/>
        <scheme val="minor"/>
      </rPr>
      <t>3</t>
    </r>
    <r>
      <rPr>
        <sz val="8"/>
        <rFont val="Calibri"/>
        <family val="2"/>
        <scheme val="minor"/>
      </rPr>
      <t xml:space="preserve"> metano</t>
    </r>
  </si>
  <si>
    <r>
      <rPr>
        <sz val="8"/>
        <rFont val="Calibri"/>
        <family val="2"/>
        <scheme val="minor"/>
      </rPr>
      <t>El biogás en cuestión se puede tomar en consideración únicamente si la emisión del mismo ocurrió antes de este proyecto; si el biogás es generado y utilizado por el proyecto, este no se puede considerar como una reducción de emisión.</t>
    </r>
  </si>
  <si>
    <r>
      <rPr>
        <sz val="8"/>
        <color theme="1"/>
        <rFont val="Calibri"/>
        <family val="2"/>
        <scheme val="minor"/>
      </rPr>
      <t>Metano presente en el biogás a partir de AP</t>
    </r>
  </si>
  <si>
    <r>
      <rPr>
        <sz val="8"/>
        <rFont val="Calibri"/>
        <family val="2"/>
        <scheme val="minor"/>
      </rPr>
      <t>Proporcione un estimado del flujo diario previsto de aguas residuales que llegan a la planta de tratamiento de aguas residuales (WWTP). Se puede realizar un cálculo aproximado usando alrededor del 80% del suministro de agua hacia la misma zona de captación y añadiendo un supuesto del flujo de aguas pluviales y aguas subterráneas por intrusión. Para sistemas de alcantarillado separados esto podría añadir hasta un 30% adicional y para sistemas combinados esto podría añadir entre 100 y 200% adicionales.</t>
    </r>
  </si>
  <si>
    <r>
      <rPr>
        <sz val="8"/>
        <rFont val="Calibri"/>
        <family val="2"/>
        <scheme val="minor"/>
      </rPr>
      <t>Seleccione “SÍ” o “NO” del menú desplegable</t>
    </r>
  </si>
  <si>
    <r>
      <rPr>
        <sz val="8"/>
        <color theme="1"/>
        <rFont val="Calibri"/>
        <family val="2"/>
        <scheme val="minor"/>
      </rPr>
      <t>Cantidad promedio diaria de materia orgánica</t>
    </r>
  </si>
  <si>
    <r>
      <rPr>
        <sz val="8"/>
        <rFont val="Calibri"/>
        <family val="2"/>
        <scheme val="minor"/>
      </rPr>
      <t>Seleccione “SÍ” o “NO” del menú desplegable
“SÍ” (se recomienda cuando el afluente de TSS &gt; 80 mg/l), 
“NO” (se recomienda cuando el afluente de TSS &lt; 80 mg/l)</t>
    </r>
  </si>
  <si>
    <r>
      <rPr>
        <b/>
        <sz val="12"/>
        <color theme="0"/>
        <rFont val="Calibri"/>
        <family val="2"/>
        <scheme val="minor"/>
      </rPr>
      <t>RESUMEN DE RESULTADOS</t>
    </r>
  </si>
  <si>
    <r>
      <rPr>
        <sz val="8"/>
        <color theme="1"/>
        <rFont val="Calibri"/>
        <family val="2"/>
        <scheme val="minor"/>
      </rPr>
      <t>¿Cuenta con un UASB que no está captando biogás?</t>
    </r>
  </si>
  <si>
    <r>
      <rPr>
        <sz val="8"/>
        <color theme="1"/>
        <rFont val="Calibri"/>
        <family val="2"/>
        <scheme val="minor"/>
      </rPr>
      <t>¿Cuenta con una laguna anaerobia que no está captando biogás?</t>
    </r>
  </si>
  <si>
    <r>
      <rPr>
        <sz val="8"/>
        <color theme="1"/>
        <rFont val="Calibri"/>
        <family val="2"/>
        <scheme val="minor"/>
      </rPr>
      <t>Costo de mano de obra promedio</t>
    </r>
  </si>
  <si>
    <r>
      <rPr>
        <sz val="8"/>
        <rFont val="Calibri"/>
        <family val="2"/>
        <scheme val="minor"/>
      </rPr>
      <t>Coloque el costo promedio dominante localmente de los operadores en la planta de tratamiento</t>
    </r>
  </si>
  <si>
    <r>
      <rPr>
        <sz val="8"/>
        <rFont val="Calibri"/>
        <family val="2"/>
        <scheme val="minor"/>
      </rPr>
      <t>(El valor que aquí se calcula se basa en los supuestos siguientes: (i) una planta WWTP occidental y moderna requiere adicionalmente de 0.5 USD/PE</t>
    </r>
    <r>
      <rPr>
        <vertAlign val="subscript"/>
        <sz val="8"/>
        <rFont val="Calibri"/>
        <family val="2"/>
        <scheme val="minor"/>
      </rPr>
      <t>60</t>
    </r>
    <r>
      <rPr>
        <sz val="8"/>
        <rFont val="Calibri"/>
        <family val="2"/>
        <scheme val="minor"/>
      </rPr>
      <t xml:space="preserve">/a para ejecutar un sistema de digestión, (ii) la WWTP de este proyecto requerirá 50% más de personal que una planta occidental debido a eficiencias no óptimas, (iii) el costo TOTAL de una planta WWTP occidental se asume en 40,000 US$/año) </t>
    </r>
  </si>
  <si>
    <r>
      <rPr>
        <sz val="8"/>
        <color theme="1"/>
        <rFont val="Calibri"/>
        <family val="2"/>
        <scheme val="minor"/>
      </rPr>
      <t>Eliminación de las emisiones de GEI provenientes del digestor</t>
    </r>
  </si>
  <si>
    <r>
      <rPr>
        <sz val="8"/>
        <color theme="1"/>
        <rFont val="Calibri"/>
        <family val="2"/>
        <scheme val="minor"/>
      </rPr>
      <t>Eliminación de las emisiones de GEI provenientes del UASB</t>
    </r>
  </si>
  <si>
    <r>
      <rPr>
        <sz val="8"/>
        <color theme="1"/>
        <rFont val="Calibri"/>
        <family val="2"/>
        <scheme val="minor"/>
      </rPr>
      <t>Eliminación de las emisiones de GEI provenientes de las lagunas anaerobias</t>
    </r>
  </si>
  <si>
    <r>
      <rPr>
        <sz val="8"/>
        <color theme="1"/>
        <rFont val="Calibri"/>
        <family val="2"/>
        <scheme val="minor"/>
      </rPr>
      <t>Eliminación de las emisiones de GEI provenientes de las lagunas anaerobias</t>
    </r>
  </si>
  <si>
    <r>
      <rPr>
        <sz val="8"/>
        <rFont val="Calibri"/>
        <family val="2"/>
        <scheme val="minor"/>
      </rPr>
      <t>Coloque el costo unitario dominante localmente para efectos de compra de la red pública</t>
    </r>
  </si>
  <si>
    <r>
      <rPr>
        <b/>
        <sz val="9"/>
        <rFont val="Calibri"/>
        <family val="2"/>
        <scheme val="minor"/>
      </rPr>
      <t>Valor</t>
    </r>
  </si>
  <si>
    <r>
      <rPr>
        <b/>
        <sz val="9"/>
        <rFont val="Calibri"/>
        <family val="2"/>
        <scheme val="minor"/>
      </rPr>
      <t>Unidad</t>
    </r>
  </si>
  <si>
    <r>
      <rPr>
        <b/>
        <sz val="9"/>
        <rFont val="Calibri"/>
        <family val="2"/>
        <scheme val="minor"/>
      </rPr>
      <t>Comentario</t>
    </r>
  </si>
  <si>
    <r>
      <rPr>
        <sz val="8"/>
        <rFont val="Calibri"/>
        <family val="2"/>
        <scheme val="minor"/>
      </rPr>
      <t>NO</t>
    </r>
  </si>
  <si>
    <r>
      <rPr>
        <sz val="8"/>
        <rFont val="Calibri"/>
        <family val="2"/>
        <scheme val="minor"/>
      </rPr>
      <t>Seleccione “SÍ” o “NO” del menú desplegable</t>
    </r>
  </si>
  <si>
    <r>
      <rPr>
        <sz val="8"/>
        <rFont val="Calibri"/>
        <family val="2"/>
        <scheme val="minor"/>
      </rPr>
      <t>NO</t>
    </r>
  </si>
  <si>
    <r>
      <rPr>
        <b/>
        <sz val="9"/>
        <rFont val="Calibri"/>
        <family val="2"/>
        <scheme val="minor"/>
      </rPr>
      <t>Valor</t>
    </r>
  </si>
  <si>
    <r>
      <rPr>
        <b/>
        <sz val="9"/>
        <rFont val="Calibri"/>
        <family val="2"/>
        <scheme val="minor"/>
      </rPr>
      <t>Unidad</t>
    </r>
  </si>
  <si>
    <r>
      <rPr>
        <b/>
        <sz val="9"/>
        <rFont val="Calibri"/>
        <family val="2"/>
        <scheme val="minor"/>
      </rPr>
      <t>Comentario</t>
    </r>
  </si>
  <si>
    <r>
      <rPr>
        <b/>
        <sz val="9"/>
        <rFont val="Calibri"/>
        <family val="2"/>
        <scheme val="minor"/>
      </rPr>
      <t>Unidad</t>
    </r>
  </si>
  <si>
    <r>
      <rPr>
        <b/>
        <sz val="9"/>
        <rFont val="Calibri"/>
        <family val="2"/>
        <scheme val="minor"/>
      </rPr>
      <t>Comentario</t>
    </r>
  </si>
  <si>
    <r>
      <rPr>
        <sz val="8"/>
        <rFont val="Calibri"/>
        <family val="2"/>
        <scheme val="minor"/>
      </rPr>
      <t>---</t>
    </r>
  </si>
  <si>
    <r>
      <rPr>
        <sz val="8"/>
        <rFont val="Calibri"/>
        <family val="2"/>
        <scheme val="minor"/>
      </rPr>
      <t>toneladas de CO</t>
    </r>
    <r>
      <rPr>
        <vertAlign val="subscript"/>
        <sz val="8"/>
        <rFont val="Calibri"/>
        <family val="2"/>
        <scheme val="minor"/>
      </rPr>
      <t>2e</t>
    </r>
    <r>
      <rPr>
        <sz val="8"/>
        <rFont val="Calibri"/>
        <family val="2"/>
        <scheme val="minor"/>
      </rPr>
      <t>/año</t>
    </r>
  </si>
  <si>
    <r>
      <rPr>
        <sz val="8"/>
        <rFont val="Calibri"/>
        <family val="2"/>
        <scheme val="minor"/>
      </rPr>
      <t>US$/año</t>
    </r>
  </si>
  <si>
    <r>
      <rPr>
        <sz val="8"/>
        <rFont val="Calibri"/>
        <family val="2"/>
        <scheme val="minor"/>
      </rPr>
      <t>US$/año</t>
    </r>
  </si>
  <si>
    <r>
      <rPr>
        <sz val="8"/>
        <rFont val="Calibri"/>
        <family val="2"/>
        <scheme val="minor"/>
      </rPr>
      <t>US$/año</t>
    </r>
  </si>
  <si>
    <r>
      <rPr>
        <b/>
        <sz val="8"/>
        <color rgb="FF0070C0"/>
        <rFont val="Calibri"/>
        <family val="2"/>
        <scheme val="minor"/>
      </rPr>
      <t>US$/año</t>
    </r>
  </si>
  <si>
    <r>
      <rPr>
        <sz val="8"/>
        <rFont val="Calibri"/>
        <family val="2"/>
        <scheme val="minor"/>
      </rPr>
      <t>m³</t>
    </r>
  </si>
  <si>
    <r>
      <rPr>
        <b/>
        <sz val="9"/>
        <rFont val="Calibri"/>
        <family val="2"/>
        <scheme val="minor"/>
      </rPr>
      <t>Resultado</t>
    </r>
  </si>
  <si>
    <r>
      <rPr>
        <b/>
        <sz val="9"/>
        <rFont val="Calibri"/>
        <family val="2"/>
        <scheme val="minor"/>
      </rPr>
      <t>Unidad</t>
    </r>
  </si>
  <si>
    <r>
      <rPr>
        <b/>
        <sz val="9"/>
        <rFont val="Calibri"/>
        <family val="2"/>
        <scheme val="minor"/>
      </rPr>
      <t>Comentario</t>
    </r>
  </si>
  <si>
    <r>
      <rPr>
        <sz val="8"/>
        <color theme="1"/>
        <rFont val="Calibri"/>
        <family val="2"/>
        <scheme val="minor"/>
      </rPr>
      <t>Producción de biogás</t>
    </r>
  </si>
  <si>
    <r>
      <rPr>
        <sz val="8"/>
        <rFont val="Calibri"/>
        <family val="2"/>
        <scheme val="minor"/>
      </rPr>
      <t>m³/año</t>
    </r>
  </si>
  <si>
    <r>
      <rPr>
        <sz val="8"/>
        <color theme="1"/>
        <rFont val="Calibri"/>
        <family val="2"/>
        <scheme val="minor"/>
      </rPr>
      <t>Generación de electricidad a partir de biogás</t>
    </r>
  </si>
  <si>
    <r>
      <rPr>
        <sz val="8"/>
        <rFont val="Calibri"/>
        <family val="2"/>
        <scheme val="minor"/>
      </rPr>
      <t>kWh/año</t>
    </r>
  </si>
  <si>
    <r>
      <rPr>
        <sz val="8"/>
        <color theme="1"/>
        <rFont val="Calibri"/>
        <family val="2"/>
        <scheme val="minor"/>
      </rPr>
      <t>Incluyendo la codigestión</t>
    </r>
  </si>
  <si>
    <r>
      <rPr>
        <sz val="8"/>
        <rFont val="Calibri"/>
        <family val="2"/>
        <scheme val="minor"/>
      </rPr>
      <t>---</t>
    </r>
  </si>
  <si>
    <r>
      <rPr>
        <sz val="8"/>
        <color theme="1"/>
        <rFont val="Calibri"/>
        <family val="2"/>
        <scheme val="minor"/>
      </rPr>
      <t>Reducción de las emisiones de GEI por medio de electricidad a partir de biogás</t>
    </r>
  </si>
  <si>
    <r>
      <rPr>
        <sz val="8"/>
        <rFont val="Calibri"/>
        <family val="2"/>
        <scheme val="minor"/>
      </rPr>
      <t>toneladas de CO</t>
    </r>
    <r>
      <rPr>
        <vertAlign val="subscript"/>
        <sz val="8"/>
        <rFont val="Calibri"/>
        <family val="2"/>
        <scheme val="minor"/>
      </rPr>
      <t>2e</t>
    </r>
    <r>
      <rPr>
        <sz val="8"/>
        <rFont val="Calibri"/>
        <family val="2"/>
        <scheme val="minor"/>
      </rPr>
      <t>/año</t>
    </r>
  </si>
  <si>
    <r>
      <rPr>
        <sz val="8"/>
        <color theme="1"/>
        <rFont val="Calibri"/>
        <family val="2"/>
        <scheme val="minor"/>
      </rPr>
      <t>Eliminación de las emisiones de GEI provenientes del digestor</t>
    </r>
  </si>
  <si>
    <r>
      <rPr>
        <sz val="8"/>
        <rFont val="Calibri"/>
        <family val="2"/>
        <scheme val="minor"/>
      </rPr>
      <t>toneladas de CO</t>
    </r>
    <r>
      <rPr>
        <vertAlign val="subscript"/>
        <sz val="8"/>
        <rFont val="Calibri"/>
        <family val="2"/>
        <scheme val="minor"/>
      </rPr>
      <t>2e</t>
    </r>
    <r>
      <rPr>
        <sz val="8"/>
        <rFont val="Calibri"/>
        <family val="2"/>
        <scheme val="minor"/>
      </rPr>
      <t>/año</t>
    </r>
  </si>
  <si>
    <r>
      <rPr>
        <b/>
        <sz val="8"/>
        <color rgb="FF0070C0"/>
        <rFont val="Calibri"/>
        <family val="2"/>
        <scheme val="minor"/>
      </rPr>
      <t>Reducción total de las emisiones de GEI</t>
    </r>
  </si>
  <si>
    <r>
      <rPr>
        <b/>
        <sz val="8"/>
        <color rgb="FF0070C0"/>
        <rFont val="Calibri"/>
        <family val="2"/>
        <scheme val="minor"/>
      </rPr>
      <t>toneladas de CO</t>
    </r>
    <r>
      <rPr>
        <b/>
        <vertAlign val="subscript"/>
        <sz val="8"/>
        <color rgb="FF0070C0"/>
        <rFont val="Calibri"/>
        <family val="2"/>
        <scheme val="minor"/>
      </rPr>
      <t>2e</t>
    </r>
    <r>
      <rPr>
        <b/>
        <sz val="8"/>
        <color rgb="FF0070C0"/>
        <rFont val="Calibri"/>
        <family val="2"/>
        <scheme val="minor"/>
      </rPr>
      <t>/año</t>
    </r>
  </si>
  <si>
    <r>
      <rPr>
        <sz val="8"/>
        <color theme="1"/>
        <rFont val="Calibri"/>
        <family val="2"/>
        <scheme val="minor"/>
      </rPr>
      <t>Reducción del costo de electricidad</t>
    </r>
  </si>
  <si>
    <r>
      <rPr>
        <sz val="8"/>
        <rFont val="Calibri"/>
        <family val="2"/>
        <scheme val="minor"/>
      </rPr>
      <t>US$/año</t>
    </r>
  </si>
  <si>
    <r>
      <rPr>
        <sz val="8"/>
        <color theme="1"/>
        <rFont val="Calibri"/>
        <family val="2"/>
        <scheme val="minor"/>
      </rPr>
      <t>Reducción del costo de evacuación de lodo</t>
    </r>
  </si>
  <si>
    <r>
      <rPr>
        <sz val="8"/>
        <rFont val="Calibri"/>
        <family val="2"/>
        <scheme val="minor"/>
      </rPr>
      <t>US$/año</t>
    </r>
  </si>
  <si>
    <r>
      <rPr>
        <sz val="8"/>
        <rFont val="Calibri"/>
        <family val="2"/>
        <scheme val="minor"/>
      </rPr>
      <t>US$/año</t>
    </r>
  </si>
  <si>
    <r>
      <rPr>
        <b/>
        <sz val="8"/>
        <color rgb="FF0070C0"/>
        <rFont val="Calibri"/>
        <family val="2"/>
        <scheme val="minor"/>
      </rPr>
      <t>Ahorro total de gastos de funcionamiento</t>
    </r>
  </si>
  <si>
    <r>
      <rPr>
        <b/>
        <sz val="8"/>
        <color rgb="FF0070C0"/>
        <rFont val="Calibri"/>
        <family val="2"/>
        <scheme val="minor"/>
      </rPr>
      <t>US$/año</t>
    </r>
  </si>
  <si>
    <r>
      <rPr>
        <sz val="8"/>
        <color theme="1"/>
        <rFont val="Calibri"/>
        <family val="2"/>
        <scheme val="minor"/>
      </rPr>
      <t>Digestor</t>
    </r>
  </si>
  <si>
    <r>
      <rPr>
        <sz val="8"/>
        <rFont val="Calibri"/>
        <family val="2"/>
        <scheme val="minor"/>
      </rPr>
      <t>m³</t>
    </r>
  </si>
  <si>
    <r>
      <rPr>
        <sz val="8"/>
        <color theme="1"/>
        <rFont val="Calibri"/>
        <family val="2"/>
        <scheme val="minor"/>
      </rPr>
      <t>Almacenador de biogás</t>
    </r>
  </si>
  <si>
    <r>
      <rPr>
        <sz val="8"/>
        <rFont val="Calibri"/>
        <family val="2"/>
        <scheme val="minor"/>
      </rPr>
      <t>m³</t>
    </r>
  </si>
  <si>
    <r>
      <rPr>
        <sz val="8"/>
        <rFont val="Calibri"/>
        <family val="2"/>
        <scheme val="minor"/>
      </rPr>
      <t>kW</t>
    </r>
  </si>
  <si>
    <r>
      <rPr>
        <b/>
        <sz val="9"/>
        <rFont val="Calibri"/>
        <family val="2"/>
        <scheme val="minor"/>
      </rPr>
      <t>Resultado</t>
    </r>
  </si>
  <si>
    <r>
      <rPr>
        <b/>
        <sz val="9"/>
        <rFont val="Calibri"/>
        <family val="2"/>
        <scheme val="minor"/>
      </rPr>
      <t>Unidad</t>
    </r>
  </si>
  <si>
    <r>
      <rPr>
        <b/>
        <sz val="9"/>
        <rFont val="Calibri"/>
        <family val="2"/>
        <scheme val="minor"/>
      </rPr>
      <t>Comentario</t>
    </r>
  </si>
  <si>
    <r>
      <rPr>
        <sz val="8"/>
        <color theme="1"/>
        <rFont val="Calibri"/>
        <family val="2"/>
        <scheme val="minor"/>
      </rPr>
      <t>Producción de biogás</t>
    </r>
  </si>
  <si>
    <r>
      <rPr>
        <sz val="8"/>
        <rFont val="Calibri"/>
        <family val="2"/>
        <scheme val="minor"/>
      </rPr>
      <t>m³/año</t>
    </r>
  </si>
  <si>
    <r>
      <rPr>
        <sz val="8"/>
        <color theme="1"/>
        <rFont val="Calibri"/>
        <family val="2"/>
        <scheme val="minor"/>
      </rPr>
      <t>Generación de electricidad a partir de biogás</t>
    </r>
  </si>
  <si>
    <r>
      <rPr>
        <sz val="8"/>
        <rFont val="Calibri"/>
        <family val="2"/>
        <scheme val="minor"/>
      </rPr>
      <t>kWh/año</t>
    </r>
  </si>
  <si>
    <r>
      <rPr>
        <sz val="8"/>
        <color theme="1"/>
        <rFont val="Calibri"/>
        <family val="2"/>
        <scheme val="minor"/>
      </rPr>
      <t>Reducción de las emisiones de GEI por medio de electricidad a partir de biogás</t>
    </r>
  </si>
  <si>
    <r>
      <rPr>
        <sz val="8"/>
        <rFont val="Calibri"/>
        <family val="2"/>
        <scheme val="minor"/>
      </rPr>
      <t>toneladas de CO</t>
    </r>
    <r>
      <rPr>
        <vertAlign val="subscript"/>
        <sz val="8"/>
        <rFont val="Calibri"/>
        <family val="2"/>
        <scheme val="minor"/>
      </rPr>
      <t>2e</t>
    </r>
    <r>
      <rPr>
        <sz val="8"/>
        <rFont val="Calibri"/>
        <family val="2"/>
        <scheme val="minor"/>
      </rPr>
      <t>/año</t>
    </r>
  </si>
  <si>
    <r>
      <rPr>
        <sz val="8"/>
        <rFont val="Calibri"/>
        <family val="2"/>
        <scheme val="minor"/>
      </rPr>
      <t>toneladas de CO</t>
    </r>
    <r>
      <rPr>
        <vertAlign val="subscript"/>
        <sz val="8"/>
        <rFont val="Calibri"/>
        <family val="2"/>
        <scheme val="minor"/>
      </rPr>
      <t>2e</t>
    </r>
    <r>
      <rPr>
        <sz val="8"/>
        <rFont val="Calibri"/>
        <family val="2"/>
        <scheme val="minor"/>
      </rPr>
      <t>/año</t>
    </r>
  </si>
  <si>
    <r>
      <rPr>
        <b/>
        <sz val="8"/>
        <color rgb="FF0070C0"/>
        <rFont val="Calibri"/>
        <family val="2"/>
        <scheme val="minor"/>
      </rPr>
      <t>Reducción total de las emisiones de GEI</t>
    </r>
  </si>
  <si>
    <r>
      <rPr>
        <b/>
        <sz val="8"/>
        <color rgb="FF0070C0"/>
        <rFont val="Calibri"/>
        <family val="2"/>
        <scheme val="minor"/>
      </rPr>
      <t>toneladas de CO</t>
    </r>
    <r>
      <rPr>
        <b/>
        <vertAlign val="subscript"/>
        <sz val="8"/>
        <color rgb="FF0070C0"/>
        <rFont val="Calibri"/>
        <family val="2"/>
        <scheme val="minor"/>
      </rPr>
      <t>2e</t>
    </r>
    <r>
      <rPr>
        <b/>
        <sz val="8"/>
        <color rgb="FF0070C0"/>
        <rFont val="Calibri"/>
        <family val="2"/>
        <scheme val="minor"/>
      </rPr>
      <t>/año</t>
    </r>
  </si>
  <si>
    <r>
      <rPr>
        <sz val="8"/>
        <color theme="1"/>
        <rFont val="Calibri"/>
        <family val="2"/>
        <scheme val="minor"/>
      </rPr>
      <t>Reducción del costo de electricidad</t>
    </r>
  </si>
  <si>
    <r>
      <rPr>
        <sz val="8"/>
        <rFont val="Calibri"/>
        <family val="2"/>
        <scheme val="minor"/>
      </rPr>
      <t>US$/año</t>
    </r>
  </si>
  <si>
    <r>
      <rPr>
        <sz val="8"/>
        <rFont val="Calibri"/>
        <family val="2"/>
        <scheme val="minor"/>
      </rPr>
      <t>US$/año</t>
    </r>
  </si>
  <si>
    <r>
      <rPr>
        <b/>
        <sz val="8"/>
        <color rgb="FF0070C0"/>
        <rFont val="Calibri"/>
        <family val="2"/>
        <scheme val="minor"/>
      </rPr>
      <t>Ahorro total de gastos de funcionamiento</t>
    </r>
  </si>
  <si>
    <r>
      <rPr>
        <b/>
        <sz val="8"/>
        <color rgb="FF0070C0"/>
        <rFont val="Calibri"/>
        <family val="2"/>
        <scheme val="minor"/>
      </rPr>
      <t>US$/año</t>
    </r>
  </si>
  <si>
    <r>
      <rPr>
        <sz val="8"/>
        <color theme="1"/>
        <rFont val="Calibri"/>
        <family val="2"/>
        <scheme val="minor"/>
      </rPr>
      <t>Almacenador de biogás</t>
    </r>
  </si>
  <si>
    <r>
      <rPr>
        <sz val="8"/>
        <rFont val="Calibri"/>
        <family val="2"/>
        <scheme val="minor"/>
      </rPr>
      <t>m³</t>
    </r>
  </si>
  <si>
    <r>
      <rPr>
        <sz val="8"/>
        <rFont val="Calibri"/>
        <family val="2"/>
        <scheme val="minor"/>
      </rPr>
      <t>kW</t>
    </r>
  </si>
  <si>
    <r>
      <rPr>
        <b/>
        <sz val="9"/>
        <rFont val="Calibri"/>
        <family val="2"/>
        <scheme val="minor"/>
      </rPr>
      <t>Resultado</t>
    </r>
  </si>
  <si>
    <r>
      <rPr>
        <b/>
        <sz val="9"/>
        <rFont val="Calibri"/>
        <family val="2"/>
        <scheme val="minor"/>
      </rPr>
      <t>Unidad</t>
    </r>
  </si>
  <si>
    <r>
      <rPr>
        <b/>
        <sz val="9"/>
        <rFont val="Calibri"/>
        <family val="2"/>
        <scheme val="minor"/>
      </rPr>
      <t>Comentario</t>
    </r>
  </si>
  <si>
    <r>
      <rPr>
        <sz val="8"/>
        <color theme="1"/>
        <rFont val="Calibri"/>
        <family val="2"/>
        <scheme val="minor"/>
      </rPr>
      <t>Producción de biogás</t>
    </r>
  </si>
  <si>
    <r>
      <rPr>
        <sz val="8"/>
        <rFont val="Calibri"/>
        <family val="2"/>
        <scheme val="minor"/>
      </rPr>
      <t>m³/año</t>
    </r>
  </si>
  <si>
    <r>
      <rPr>
        <sz val="8"/>
        <color theme="1"/>
        <rFont val="Calibri"/>
        <family val="2"/>
        <scheme val="minor"/>
      </rPr>
      <t>Generación de electricidad a partir de biogás</t>
    </r>
  </si>
  <si>
    <r>
      <rPr>
        <sz val="8"/>
        <rFont val="Calibri"/>
        <family val="2"/>
        <scheme val="minor"/>
      </rPr>
      <t>kWh/año</t>
    </r>
  </si>
  <si>
    <r>
      <rPr>
        <sz val="8"/>
        <color theme="1"/>
        <rFont val="Calibri"/>
        <family val="2"/>
        <scheme val="minor"/>
      </rPr>
      <t>Reducción de las emisiones de GEI por medio de electricidad a partir de biogás</t>
    </r>
  </si>
  <si>
    <r>
      <rPr>
        <sz val="8"/>
        <rFont val="Calibri"/>
        <family val="2"/>
        <scheme val="minor"/>
      </rPr>
      <t>toneladas de CO</t>
    </r>
    <r>
      <rPr>
        <vertAlign val="subscript"/>
        <sz val="8"/>
        <rFont val="Calibri"/>
        <family val="2"/>
        <scheme val="minor"/>
      </rPr>
      <t>2e</t>
    </r>
    <r>
      <rPr>
        <sz val="8"/>
        <rFont val="Calibri"/>
        <family val="2"/>
        <scheme val="minor"/>
      </rPr>
      <t>/año</t>
    </r>
  </si>
  <si>
    <r>
      <rPr>
        <sz val="8"/>
        <rFont val="Calibri"/>
        <family val="2"/>
        <scheme val="minor"/>
      </rPr>
      <t>toneladas de CO</t>
    </r>
    <r>
      <rPr>
        <vertAlign val="subscript"/>
        <sz val="8"/>
        <rFont val="Calibri"/>
        <family val="2"/>
        <scheme val="minor"/>
      </rPr>
      <t>2e</t>
    </r>
    <r>
      <rPr>
        <sz val="8"/>
        <rFont val="Calibri"/>
        <family val="2"/>
        <scheme val="minor"/>
      </rPr>
      <t>/año</t>
    </r>
  </si>
  <si>
    <r>
      <rPr>
        <b/>
        <sz val="8"/>
        <color rgb="FF0070C0"/>
        <rFont val="Calibri"/>
        <family val="2"/>
        <scheme val="minor"/>
      </rPr>
      <t>Reducción total de la emisión de GEI</t>
    </r>
  </si>
  <si>
    <r>
      <rPr>
        <b/>
        <sz val="8"/>
        <color rgb="FF0070C0"/>
        <rFont val="Calibri"/>
        <family val="2"/>
        <scheme val="minor"/>
      </rPr>
      <t>toneladas de CO</t>
    </r>
    <r>
      <rPr>
        <b/>
        <vertAlign val="subscript"/>
        <sz val="8"/>
        <color rgb="FF0070C0"/>
        <rFont val="Calibri"/>
        <family val="2"/>
        <scheme val="minor"/>
      </rPr>
      <t>2e</t>
    </r>
    <r>
      <rPr>
        <b/>
        <sz val="8"/>
        <color rgb="FF0070C0"/>
        <rFont val="Calibri"/>
        <family val="2"/>
        <scheme val="minor"/>
      </rPr>
      <t>/año</t>
    </r>
  </si>
  <si>
    <r>
      <rPr>
        <sz val="8"/>
        <color theme="1"/>
        <rFont val="Calibri"/>
        <family val="2"/>
        <scheme val="minor"/>
      </rPr>
      <t>Reducción del costo de electricidad</t>
    </r>
  </si>
  <si>
    <r>
      <rPr>
        <sz val="8"/>
        <rFont val="Calibri"/>
        <family val="2"/>
        <scheme val="minor"/>
      </rPr>
      <t>US$/año</t>
    </r>
  </si>
  <si>
    <r>
      <rPr>
        <sz val="8"/>
        <rFont val="Calibri"/>
        <family val="2"/>
        <scheme val="minor"/>
      </rPr>
      <t>US$/año</t>
    </r>
  </si>
  <si>
    <r>
      <rPr>
        <b/>
        <sz val="8"/>
        <color rgb="FF0070C0"/>
        <rFont val="Calibri"/>
        <family val="2"/>
        <scheme val="minor"/>
      </rPr>
      <t>Ahorro total de gastos de funcionamiento</t>
    </r>
  </si>
  <si>
    <r>
      <rPr>
        <b/>
        <sz val="8"/>
        <color rgb="FF0070C0"/>
        <rFont val="Calibri"/>
        <family val="2"/>
        <scheme val="minor"/>
      </rPr>
      <t>US$/año</t>
    </r>
  </si>
  <si>
    <r>
      <rPr>
        <sz val="8"/>
        <rFont val="Calibri"/>
        <family val="2"/>
        <scheme val="minor"/>
      </rPr>
      <t>kW</t>
    </r>
  </si>
  <si>
    <r>
      <rPr>
        <b/>
        <sz val="12"/>
        <color theme="1"/>
        <rFont val="Calibri"/>
        <family val="2"/>
        <scheme val="minor"/>
      </rPr>
      <t>Proyecto:</t>
    </r>
  </si>
  <si>
    <r>
      <rPr>
        <b/>
        <sz val="10"/>
        <color theme="1"/>
        <rFont val="Calibri"/>
        <family val="2"/>
        <scheme val="minor"/>
      </rPr>
      <t>Fecha:</t>
    </r>
  </si>
  <si>
    <r>
      <rPr>
        <b/>
        <sz val="9"/>
        <color theme="0"/>
        <rFont val="Calibri"/>
        <family val="2"/>
        <scheme val="minor"/>
      </rPr>
      <t>Valor</t>
    </r>
  </si>
  <si>
    <r>
      <rPr>
        <b/>
        <sz val="9"/>
        <color theme="0"/>
        <rFont val="Calibri"/>
        <family val="2"/>
        <scheme val="minor"/>
      </rPr>
      <t>Unidad</t>
    </r>
  </si>
  <si>
    <r>
      <rPr>
        <b/>
        <sz val="9"/>
        <color theme="0"/>
        <rFont val="Calibri"/>
        <family val="2"/>
        <scheme val="minor"/>
      </rPr>
      <t>Comentario</t>
    </r>
  </si>
  <si>
    <r>
      <rPr>
        <u/>
        <sz val="8"/>
        <color theme="1"/>
        <rFont val="Calibri"/>
        <family val="2"/>
        <scheme val="minor"/>
      </rPr>
      <t>AGUAS RESIDUALES QUE INGRESAN A LA PLANTA</t>
    </r>
  </si>
  <si>
    <r>
      <rPr>
        <sz val="8"/>
        <color theme="1"/>
        <rFont val="Calibri"/>
        <family val="2"/>
        <scheme val="minor"/>
      </rPr>
      <t>Carga hidráulica promedio</t>
    </r>
  </si>
  <si>
    <r>
      <rPr>
        <sz val="8"/>
        <color theme="1"/>
        <rFont val="Calibri"/>
        <family val="2"/>
        <scheme val="minor"/>
      </rPr>
      <t>Concentración de afluencia BOD</t>
    </r>
    <r>
      <rPr>
        <vertAlign val="subscript"/>
        <sz val="8"/>
        <color theme="1"/>
        <rFont val="Calibri"/>
        <family val="2"/>
        <scheme val="minor"/>
      </rPr>
      <t>5</t>
    </r>
    <r>
      <rPr>
        <sz val="8"/>
        <color theme="1"/>
        <rFont val="Calibri"/>
        <family val="2"/>
        <scheme val="minor"/>
      </rPr>
      <t xml:space="preserve"> promedio</t>
    </r>
  </si>
  <si>
    <r>
      <rPr>
        <sz val="8"/>
        <rFont val="Calibri"/>
        <family val="2"/>
        <scheme val="minor"/>
      </rPr>
      <t>mg/l</t>
    </r>
  </si>
  <si>
    <r>
      <rPr>
        <sz val="8"/>
        <rFont val="Calibri"/>
        <family val="2"/>
        <scheme val="minor"/>
      </rPr>
      <t>---</t>
    </r>
  </si>
  <si>
    <r>
      <rPr>
        <sz val="8"/>
        <rFont val="Calibri"/>
        <family val="2"/>
        <scheme val="minor"/>
      </rPr>
      <t>mg/l</t>
    </r>
  </si>
  <si>
    <r>
      <rPr>
        <sz val="8"/>
        <rFont val="Calibri"/>
        <family val="2"/>
        <scheme val="minor"/>
      </rPr>
      <t>---</t>
    </r>
  </si>
  <si>
    <r>
      <rPr>
        <sz val="8"/>
        <rFont val="Calibri"/>
        <family val="2"/>
        <scheme val="minor"/>
      </rPr>
      <t>mg/l</t>
    </r>
  </si>
  <si>
    <r>
      <rPr>
        <b/>
        <sz val="9"/>
        <color theme="0"/>
        <rFont val="Calibri"/>
        <family val="2"/>
        <scheme val="minor"/>
      </rPr>
      <t>Valor</t>
    </r>
  </si>
  <si>
    <r>
      <rPr>
        <b/>
        <sz val="9"/>
        <color theme="0"/>
        <rFont val="Calibri"/>
        <family val="2"/>
        <scheme val="minor"/>
      </rPr>
      <t>Unidad</t>
    </r>
  </si>
  <si>
    <r>
      <rPr>
        <b/>
        <sz val="9"/>
        <color theme="0"/>
        <rFont val="Calibri"/>
        <family val="2"/>
        <scheme val="minor"/>
      </rPr>
      <t>Comentario</t>
    </r>
  </si>
  <si>
    <r>
      <rPr>
        <sz val="8"/>
        <rFont val="Calibri"/>
        <family val="2"/>
        <scheme val="minor"/>
      </rPr>
      <t>SÍ</t>
    </r>
  </si>
  <si>
    <r>
      <rPr>
        <sz val="8"/>
        <rFont val="Calibri"/>
        <family val="2"/>
        <scheme val="minor"/>
      </rPr>
      <t>SÍ</t>
    </r>
  </si>
  <si>
    <r>
      <rPr>
        <sz val="8"/>
        <rFont val="Calibri"/>
        <family val="2"/>
        <scheme val="minor"/>
      </rPr>
      <t>m³</t>
    </r>
  </si>
  <si>
    <r>
      <rPr>
        <sz val="8"/>
        <rFont val="Calibri"/>
        <family val="2"/>
        <scheme val="minor"/>
      </rPr>
      <t>NO</t>
    </r>
  </si>
  <si>
    <r>
      <rPr>
        <sz val="8"/>
        <rFont val="Calibri"/>
        <family val="2"/>
        <scheme val="minor"/>
      </rPr>
      <t>%</t>
    </r>
  </si>
  <si>
    <r>
      <rPr>
        <sz val="8"/>
        <rFont val="Calibri"/>
        <family val="2"/>
        <scheme val="minor"/>
      </rPr>
      <t>kg/d</t>
    </r>
  </si>
  <si>
    <r>
      <rPr>
        <sz val="8"/>
        <rFont val="Calibri"/>
        <family val="2"/>
        <scheme val="minor"/>
      </rPr>
      <t>kg/d</t>
    </r>
  </si>
  <si>
    <r>
      <rPr>
        <sz val="8"/>
        <rFont val="Calibri"/>
        <family val="2"/>
        <scheme val="minor"/>
      </rPr>
      <t>m³/d</t>
    </r>
  </si>
  <si>
    <r>
      <rPr>
        <sz val="8"/>
        <rFont val="Calibri"/>
        <family val="2"/>
        <scheme val="minor"/>
      </rPr>
      <t>kgDS/d</t>
    </r>
  </si>
  <si>
    <r>
      <rPr>
        <sz val="8"/>
        <rFont val="Calibri"/>
        <family val="2"/>
        <scheme val="minor"/>
      </rPr>
      <t>%DS</t>
    </r>
  </si>
  <si>
    <r>
      <rPr>
        <sz val="8"/>
        <rFont val="Calibri"/>
        <family val="2"/>
        <scheme val="minor"/>
      </rPr>
      <t>%VS</t>
    </r>
  </si>
  <si>
    <r>
      <rPr>
        <sz val="8"/>
        <rFont val="Calibri"/>
        <family val="2"/>
        <scheme val="minor"/>
      </rPr>
      <t>m³/d</t>
    </r>
  </si>
  <si>
    <r>
      <rPr>
        <sz val="8"/>
        <rFont val="Calibri"/>
        <family val="2"/>
        <scheme val="minor"/>
      </rPr>
      <t>NO</t>
    </r>
  </si>
  <si>
    <r>
      <rPr>
        <sz val="8"/>
        <rFont val="Calibri"/>
        <family val="2"/>
        <scheme val="minor"/>
      </rPr>
      <t>Seleccione “SÍ” o “NO” del menú desplegable</t>
    </r>
  </si>
  <si>
    <r>
      <rPr>
        <sz val="8"/>
        <rFont val="Calibri"/>
        <family val="2"/>
        <scheme val="minor"/>
      </rPr>
      <t>SÍ</t>
    </r>
  </si>
  <si>
    <r>
      <rPr>
        <sz val="8"/>
        <rFont val="Calibri"/>
        <family val="2"/>
        <scheme val="minor"/>
      </rPr>
      <t>NO</t>
    </r>
  </si>
  <si>
    <r>
      <rPr>
        <sz val="8"/>
        <rFont val="Calibri"/>
        <family val="2"/>
        <scheme val="minor"/>
      </rPr>
      <t>m³/d</t>
    </r>
  </si>
  <si>
    <r>
      <rPr>
        <sz val="8"/>
        <rFont val="Calibri"/>
        <family val="2"/>
        <scheme val="minor"/>
      </rPr>
      <t>%VS</t>
    </r>
  </si>
  <si>
    <r>
      <rPr>
        <sz val="8"/>
        <rFont val="Calibri"/>
        <family val="2"/>
        <scheme val="minor"/>
      </rPr>
      <t>NO</t>
    </r>
  </si>
  <si>
    <r>
      <rPr>
        <sz val="8"/>
        <rFont val="Calibri"/>
        <family val="2"/>
        <scheme val="minor"/>
      </rPr>
      <t>---</t>
    </r>
  </si>
  <si>
    <r>
      <rPr>
        <sz val="8"/>
        <rFont val="Calibri"/>
        <family val="2"/>
        <scheme val="minor"/>
      </rPr>
      <t>Seleccione “SÍ” o “NO” del menú desplegable</t>
    </r>
  </si>
  <si>
    <r>
      <rPr>
        <sz val="8"/>
        <rFont val="Calibri"/>
        <family val="2"/>
        <scheme val="minor"/>
      </rPr>
      <t>%</t>
    </r>
  </si>
  <si>
    <r>
      <rPr>
        <sz val="8"/>
        <rFont val="Calibri"/>
        <family val="2"/>
        <scheme val="minor"/>
      </rPr>
      <t>m³</t>
    </r>
  </si>
  <si>
    <r>
      <rPr>
        <sz val="8"/>
        <rFont val="Calibri"/>
        <family val="2"/>
        <scheme val="minor"/>
      </rPr>
      <t>m³/d</t>
    </r>
  </si>
  <si>
    <r>
      <rPr>
        <sz val="8"/>
        <rFont val="Calibri"/>
        <family val="2"/>
        <scheme val="minor"/>
      </rPr>
      <t>m³/d</t>
    </r>
  </si>
  <si>
    <r>
      <rPr>
        <sz val="8"/>
        <rFont val="Calibri"/>
        <family val="2"/>
        <scheme val="minor"/>
      </rPr>
      <t>m³/d</t>
    </r>
  </si>
  <si>
    <r>
      <rPr>
        <sz val="8"/>
        <rFont val="Calibri"/>
        <family val="2"/>
        <scheme val="minor"/>
      </rPr>
      <t>m³/d</t>
    </r>
  </si>
  <si>
    <r>
      <rPr>
        <sz val="8"/>
        <color theme="1"/>
        <rFont val="Calibri"/>
        <family val="2"/>
        <scheme val="minor"/>
      </rPr>
      <t>Alimentación promedio de PS</t>
    </r>
  </si>
  <si>
    <r>
      <rPr>
        <sz val="8"/>
        <rFont val="Calibri"/>
        <family val="2"/>
        <scheme val="minor"/>
      </rPr>
      <t>kgDS/d</t>
    </r>
  </si>
  <si>
    <r>
      <rPr>
        <sz val="8"/>
        <color theme="1"/>
        <rFont val="Calibri"/>
        <family val="2"/>
        <scheme val="minor"/>
      </rPr>
      <t>Alimentación promedio de WAS</t>
    </r>
  </si>
  <si>
    <r>
      <rPr>
        <sz val="8"/>
        <rFont val="Calibri"/>
        <family val="2"/>
        <scheme val="minor"/>
      </rPr>
      <t>kgDS/d</t>
    </r>
  </si>
  <si>
    <r>
      <rPr>
        <sz val="8"/>
        <color theme="1"/>
        <rFont val="Calibri"/>
        <family val="2"/>
        <scheme val="minor"/>
      </rPr>
      <t>Alimentación promedio de materia prima orgánica</t>
    </r>
  </si>
  <si>
    <r>
      <rPr>
        <sz val="8"/>
        <rFont val="Calibri"/>
        <family val="2"/>
        <scheme val="minor"/>
      </rPr>
      <t>kgDS/d</t>
    </r>
  </si>
  <si>
    <r>
      <rPr>
        <sz val="8"/>
        <color theme="1"/>
        <rFont val="Calibri"/>
        <family val="2"/>
        <scheme val="minor"/>
      </rPr>
      <t>Promedio total de alimentación</t>
    </r>
  </si>
  <si>
    <r>
      <rPr>
        <sz val="8"/>
        <rFont val="Calibri"/>
        <family val="2"/>
        <scheme val="minor"/>
      </rPr>
      <t>kgDS/d</t>
    </r>
  </si>
  <si>
    <r>
      <rPr>
        <sz val="8"/>
        <color theme="1"/>
        <rFont val="Calibri"/>
        <family val="2"/>
        <scheme val="minor"/>
      </rPr>
      <t>Alimentación promedio de PS</t>
    </r>
  </si>
  <si>
    <r>
      <rPr>
        <sz val="8"/>
        <color theme="1"/>
        <rFont val="Calibri"/>
        <family val="2"/>
        <scheme val="minor"/>
      </rPr>
      <t>Alimentación promedio de WAS</t>
    </r>
  </si>
  <si>
    <r>
      <rPr>
        <sz val="8"/>
        <rFont val="Calibri"/>
        <family val="2"/>
        <scheme val="minor"/>
      </rPr>
      <t>kgVS/d</t>
    </r>
  </si>
  <si>
    <r>
      <rPr>
        <sz val="8"/>
        <color theme="1"/>
        <rFont val="Calibri"/>
        <family val="2"/>
        <scheme val="minor"/>
      </rPr>
      <t>Alimentación promedio de materia prima orgánica</t>
    </r>
  </si>
  <si>
    <r>
      <rPr>
        <sz val="8"/>
        <rFont val="Calibri"/>
        <family val="2"/>
        <scheme val="minor"/>
      </rPr>
      <t>kgVS/d</t>
    </r>
  </si>
  <si>
    <r>
      <rPr>
        <sz val="8"/>
        <color theme="1"/>
        <rFont val="Calibri"/>
        <family val="2"/>
        <scheme val="minor"/>
      </rPr>
      <t>Promedio total de alimentación</t>
    </r>
  </si>
  <si>
    <r>
      <rPr>
        <sz val="8"/>
        <rFont val="Calibri"/>
        <family val="2"/>
        <scheme val="minor"/>
      </rPr>
      <t>kgVS/d</t>
    </r>
  </si>
  <si>
    <r>
      <rPr>
        <sz val="8"/>
        <rFont val="Calibri"/>
        <family val="2"/>
        <scheme val="minor"/>
      </rPr>
      <t>% de VS</t>
    </r>
  </si>
  <si>
    <r>
      <rPr>
        <sz val="8"/>
        <rFont val="Calibri"/>
        <family val="2"/>
        <scheme val="minor"/>
      </rPr>
      <t>% de VS</t>
    </r>
  </si>
  <si>
    <r>
      <rPr>
        <sz val="8"/>
        <color theme="1"/>
        <rFont val="Calibri"/>
        <family val="2"/>
        <scheme val="minor"/>
      </rPr>
      <t>VS promedio de la destrucción de PS</t>
    </r>
  </si>
  <si>
    <r>
      <rPr>
        <sz val="8"/>
        <color theme="1"/>
        <rFont val="Calibri"/>
        <family val="2"/>
        <scheme val="minor"/>
      </rPr>
      <t>VS promedio de la destrucción de WAS</t>
    </r>
  </si>
  <si>
    <r>
      <rPr>
        <sz val="8"/>
        <rFont val="Calibri"/>
        <family val="2"/>
        <scheme val="minor"/>
      </rPr>
      <t>%DS</t>
    </r>
  </si>
  <si>
    <r>
      <rPr>
        <sz val="8"/>
        <rFont val="Calibri"/>
        <family val="2"/>
        <scheme val="minor"/>
      </rPr>
      <t>kgDS/d</t>
    </r>
  </si>
  <si>
    <r>
      <rPr>
        <sz val="8"/>
        <rFont val="Calibri"/>
        <family val="2"/>
        <scheme val="minor"/>
      </rPr>
      <t>m³/d</t>
    </r>
  </si>
  <si>
    <r>
      <rPr>
        <sz val="8"/>
        <rFont val="Calibri"/>
        <family val="2"/>
        <scheme val="minor"/>
      </rPr>
      <t>m³/año</t>
    </r>
  </si>
  <si>
    <r>
      <rPr>
        <sz val="8"/>
        <rFont val="Calibri"/>
        <family val="2"/>
        <scheme val="minor"/>
      </rPr>
      <t>m³</t>
    </r>
  </si>
  <si>
    <r>
      <rPr>
        <sz val="8"/>
        <rFont val="Calibri"/>
        <family val="2"/>
        <scheme val="minor"/>
      </rPr>
      <t>L/kgVS</t>
    </r>
    <r>
      <rPr>
        <vertAlign val="subscript"/>
        <sz val="8"/>
        <rFont val="Calibri"/>
        <family val="2"/>
        <scheme val="minor"/>
      </rPr>
      <t>destroyed</t>
    </r>
  </si>
  <si>
    <r>
      <rPr>
        <sz val="8"/>
        <rFont val="Calibri"/>
        <family val="2"/>
        <scheme val="minor"/>
      </rPr>
      <t>L/kgVS</t>
    </r>
    <r>
      <rPr>
        <vertAlign val="subscript"/>
        <sz val="8"/>
        <rFont val="Calibri"/>
        <family val="2"/>
        <scheme val="minor"/>
      </rPr>
      <t>destroyed</t>
    </r>
  </si>
  <si>
    <r>
      <rPr>
        <sz val="8"/>
        <rFont val="Calibri"/>
        <family val="2"/>
        <scheme val="minor"/>
      </rPr>
      <t>m³/d</t>
    </r>
  </si>
  <si>
    <r>
      <rPr>
        <sz val="8"/>
        <rFont val="Calibri"/>
        <family val="2"/>
        <scheme val="minor"/>
      </rPr>
      <t>m³/d</t>
    </r>
  </si>
  <si>
    <r>
      <rPr>
        <sz val="8"/>
        <rFont val="Calibri"/>
        <family val="2"/>
        <scheme val="minor"/>
      </rPr>
      <t>m³/d</t>
    </r>
  </si>
  <si>
    <r>
      <rPr>
        <sz val="8"/>
        <rFont val="Calibri"/>
        <family val="2"/>
        <scheme val="minor"/>
      </rPr>
      <t>m³/d</t>
    </r>
  </si>
  <si>
    <r>
      <rPr>
        <sz val="8"/>
        <rFont val="Calibri"/>
        <family val="2"/>
        <scheme val="minor"/>
      </rPr>
      <t>m³/d</t>
    </r>
  </si>
  <si>
    <r>
      <rPr>
        <sz val="8"/>
        <rFont val="Calibri"/>
        <family val="2"/>
        <scheme val="minor"/>
      </rPr>
      <t>m³/año</t>
    </r>
  </si>
  <si>
    <r>
      <rPr>
        <sz val="8"/>
        <rFont val="Calibri"/>
        <family val="2"/>
        <scheme val="minor"/>
      </rPr>
      <t>% CH</t>
    </r>
    <r>
      <rPr>
        <vertAlign val="subscript"/>
        <sz val="8"/>
        <rFont val="Calibri"/>
        <family val="2"/>
        <scheme val="minor"/>
      </rPr>
      <t>4</t>
    </r>
  </si>
  <si>
    <r>
      <rPr>
        <sz val="8"/>
        <rFont val="Calibri"/>
        <family val="2"/>
        <scheme val="minor"/>
      </rPr>
      <t>% CH</t>
    </r>
    <r>
      <rPr>
        <vertAlign val="subscript"/>
        <sz val="8"/>
        <rFont val="Calibri"/>
        <family val="2"/>
        <scheme val="minor"/>
      </rPr>
      <t>4</t>
    </r>
  </si>
  <si>
    <r>
      <rPr>
        <sz val="8"/>
        <rFont val="Calibri"/>
        <family val="2"/>
        <scheme val="minor"/>
      </rPr>
      <t>%</t>
    </r>
  </si>
  <si>
    <r>
      <rPr>
        <sz val="8"/>
        <color theme="1"/>
        <rFont val="Calibri"/>
        <family val="2"/>
        <scheme val="minor"/>
      </rPr>
      <t>Generación de electricidad a partir de biogás</t>
    </r>
  </si>
  <si>
    <r>
      <rPr>
        <sz val="8"/>
        <rFont val="Calibri"/>
        <family val="2"/>
        <scheme val="minor"/>
      </rPr>
      <t>kWh/año</t>
    </r>
  </si>
  <si>
    <r>
      <rPr>
        <sz val="8"/>
        <rFont val="Calibri"/>
        <family val="2"/>
        <scheme val="minor"/>
      </rPr>
      <t>kWh/PE</t>
    </r>
    <r>
      <rPr>
        <vertAlign val="subscript"/>
        <sz val="8"/>
        <rFont val="Calibri"/>
        <family val="2"/>
        <scheme val="minor"/>
      </rPr>
      <t>60</t>
    </r>
    <r>
      <rPr>
        <sz val="8"/>
        <rFont val="Calibri"/>
        <family val="2"/>
        <scheme val="minor"/>
      </rPr>
      <t>/año</t>
    </r>
  </si>
  <si>
    <r>
      <rPr>
        <sz val="8"/>
        <rFont val="Calibri"/>
        <family val="2"/>
        <scheme val="minor"/>
      </rPr>
      <t>kWh/d</t>
    </r>
  </si>
  <si>
    <r>
      <rPr>
        <sz val="8"/>
        <rFont val="Calibri"/>
        <family val="2"/>
        <scheme val="minor"/>
      </rPr>
      <t>kWh/año</t>
    </r>
  </si>
  <si>
    <r>
      <rPr>
        <sz val="8"/>
        <rFont val="Calibri"/>
        <family val="2"/>
        <scheme val="minor"/>
      </rPr>
      <t>%</t>
    </r>
  </si>
  <si>
    <r>
      <rPr>
        <sz val="8"/>
        <rFont val="Calibri"/>
        <family val="2"/>
        <scheme val="minor"/>
      </rPr>
      <t>kWh/d</t>
    </r>
  </si>
  <si>
    <r>
      <rPr>
        <sz val="8"/>
        <rFont val="Calibri"/>
        <family val="2"/>
        <scheme val="minor"/>
      </rPr>
      <t>kWh/año</t>
    </r>
  </si>
  <si>
    <r>
      <rPr>
        <sz val="8"/>
        <color theme="1"/>
        <rFont val="Calibri"/>
        <family val="2"/>
        <scheme val="minor"/>
      </rPr>
      <t>Emisiones de GEI locales a partir de la generación de electricidad</t>
    </r>
  </si>
  <si>
    <r>
      <rPr>
        <sz val="8"/>
        <rFont val="Calibri"/>
        <family val="2"/>
        <scheme val="minor"/>
      </rPr>
      <t>g CO</t>
    </r>
    <r>
      <rPr>
        <vertAlign val="subscript"/>
        <sz val="8"/>
        <rFont val="Calibri"/>
        <family val="2"/>
        <scheme val="minor"/>
      </rPr>
      <t>2</t>
    </r>
    <r>
      <rPr>
        <sz val="8"/>
        <rFont val="Calibri"/>
        <family val="2"/>
        <scheme val="minor"/>
      </rPr>
      <t>/kWh</t>
    </r>
  </si>
  <si>
    <r>
      <rPr>
        <sz val="8"/>
        <rFont val="Calibri"/>
        <family val="2"/>
        <scheme val="minor"/>
      </rPr>
      <t>kWh/año</t>
    </r>
  </si>
  <si>
    <r>
      <rPr>
        <sz val="8"/>
        <color theme="1"/>
        <rFont val="Calibri"/>
        <family val="2"/>
        <scheme val="minor"/>
      </rPr>
      <t>Reducción de las emisiones de GEI por medio de electricidad a partir de biogás</t>
    </r>
  </si>
  <si>
    <r>
      <rPr>
        <sz val="8"/>
        <rFont val="Calibri"/>
        <family val="2"/>
        <scheme val="minor"/>
      </rPr>
      <t>toneladas de CO</t>
    </r>
    <r>
      <rPr>
        <vertAlign val="subscript"/>
        <sz val="8"/>
        <rFont val="Calibri"/>
        <family val="2"/>
        <scheme val="minor"/>
      </rPr>
      <t>2e</t>
    </r>
    <r>
      <rPr>
        <sz val="8"/>
        <rFont val="Calibri"/>
        <family val="2"/>
        <scheme val="minor"/>
      </rPr>
      <t>/año</t>
    </r>
  </si>
  <si>
    <r>
      <rPr>
        <sz val="8"/>
        <color theme="1"/>
        <rFont val="Calibri"/>
        <family val="2"/>
        <scheme val="minor"/>
      </rPr>
      <t>Eliminación de las emisiones de GEI provenientes del digestor</t>
    </r>
  </si>
  <si>
    <r>
      <rPr>
        <sz val="8"/>
        <rFont val="Calibri"/>
        <family val="2"/>
        <scheme val="minor"/>
      </rPr>
      <t>toneladas de CO</t>
    </r>
    <r>
      <rPr>
        <vertAlign val="subscript"/>
        <sz val="8"/>
        <rFont val="Calibri"/>
        <family val="2"/>
        <scheme val="minor"/>
      </rPr>
      <t>2e</t>
    </r>
    <r>
      <rPr>
        <sz val="8"/>
        <rFont val="Calibri"/>
        <family val="2"/>
        <scheme val="minor"/>
      </rPr>
      <t>/año</t>
    </r>
  </si>
  <si>
    <r>
      <rPr>
        <sz val="8"/>
        <color theme="1"/>
        <rFont val="Calibri"/>
        <family val="2"/>
        <scheme val="minor"/>
      </rPr>
      <t>Reducción total de la emisión de GEI</t>
    </r>
  </si>
  <si>
    <r>
      <rPr>
        <b/>
        <sz val="8"/>
        <color rgb="FF0070C0"/>
        <rFont val="Calibri"/>
        <family val="2"/>
        <scheme val="minor"/>
      </rPr>
      <t>toneladas de CO</t>
    </r>
    <r>
      <rPr>
        <b/>
        <vertAlign val="subscript"/>
        <sz val="8"/>
        <color rgb="FF0070C0"/>
        <rFont val="Calibri"/>
        <family val="2"/>
        <scheme val="minor"/>
      </rPr>
      <t>2e</t>
    </r>
    <r>
      <rPr>
        <b/>
        <sz val="8"/>
        <color rgb="FF0070C0"/>
        <rFont val="Calibri"/>
        <family val="2"/>
        <scheme val="minor"/>
      </rPr>
      <t>/año</t>
    </r>
  </si>
  <si>
    <r>
      <rPr>
        <sz val="8"/>
        <color theme="1"/>
        <rFont val="Calibri"/>
        <family val="2"/>
        <scheme val="minor"/>
      </rPr>
      <t>Tarifa eléctrica</t>
    </r>
  </si>
  <si>
    <r>
      <rPr>
        <sz val="8"/>
        <rFont val="Calibri"/>
        <family val="2"/>
        <scheme val="minor"/>
      </rPr>
      <t>US$/kWh</t>
    </r>
  </si>
  <si>
    <r>
      <rPr>
        <sz val="8"/>
        <color theme="1"/>
        <rFont val="Calibri"/>
        <family val="2"/>
        <scheme val="minor"/>
      </rPr>
      <t>Reducción del costo de electricidad</t>
    </r>
  </si>
  <si>
    <r>
      <rPr>
        <b/>
        <sz val="8"/>
        <rFont val="Calibri"/>
        <family val="2"/>
        <scheme val="minor"/>
      </rPr>
      <t>US$/año</t>
    </r>
  </si>
  <si>
    <r>
      <rPr>
        <sz val="8"/>
        <rFont val="Calibri"/>
        <family val="2"/>
        <scheme val="minor"/>
      </rPr>
      <t>kWh/d</t>
    </r>
  </si>
  <si>
    <r>
      <rPr>
        <sz val="8"/>
        <rFont val="Calibri"/>
        <family val="2"/>
        <scheme val="minor"/>
      </rPr>
      <t>kWh/año</t>
    </r>
  </si>
  <si>
    <r>
      <rPr>
        <b/>
        <sz val="8"/>
        <rFont val="Calibri"/>
        <family val="2"/>
        <scheme val="minor"/>
      </rPr>
      <t>US$/año</t>
    </r>
  </si>
  <si>
    <r>
      <rPr>
        <sz val="8"/>
        <color theme="1"/>
        <rFont val="Calibri"/>
        <family val="2"/>
        <scheme val="minor"/>
      </rPr>
      <t>Costo unitario de evacuación de lodo</t>
    </r>
  </si>
  <si>
    <r>
      <rPr>
        <sz val="8"/>
        <rFont val="Calibri"/>
        <family val="2"/>
        <scheme val="minor"/>
      </rPr>
      <t>US$/m</t>
    </r>
    <r>
      <rPr>
        <vertAlign val="superscript"/>
        <sz val="8"/>
        <rFont val="Calibri"/>
        <family val="2"/>
        <scheme val="minor"/>
      </rPr>
      <t>3</t>
    </r>
  </si>
  <si>
    <r>
      <rPr>
        <sz val="8"/>
        <color theme="1"/>
        <rFont val="Calibri"/>
        <family val="2"/>
        <scheme val="minor"/>
      </rPr>
      <t>Reducción del costo de evacuación de lodo</t>
    </r>
  </si>
  <si>
    <r>
      <rPr>
        <sz val="8"/>
        <rFont val="Calibri"/>
        <family val="2"/>
        <scheme val="minor"/>
      </rPr>
      <t>m³/d</t>
    </r>
  </si>
  <si>
    <r>
      <rPr>
        <sz val="8"/>
        <rFont val="Calibri"/>
        <family val="2"/>
        <scheme val="minor"/>
      </rPr>
      <t>m³/año</t>
    </r>
  </si>
  <si>
    <r>
      <rPr>
        <b/>
        <sz val="8"/>
        <rFont val="Calibri"/>
        <family val="2"/>
        <scheme val="minor"/>
      </rPr>
      <t>US$/año</t>
    </r>
  </si>
  <si>
    <r>
      <rPr>
        <b/>
        <sz val="8"/>
        <rFont val="Calibri"/>
        <family val="2"/>
        <scheme val="minor"/>
      </rPr>
      <t>US$/año</t>
    </r>
  </si>
  <si>
    <r>
      <rPr>
        <b/>
        <sz val="8"/>
        <rFont val="Calibri"/>
        <family val="2"/>
        <scheme val="minor"/>
      </rPr>
      <t>US$/año</t>
    </r>
  </si>
  <si>
    <r>
      <rPr>
        <b/>
        <sz val="8"/>
        <color rgb="FF0070C0"/>
        <rFont val="Calibri"/>
        <family val="2"/>
        <scheme val="minor"/>
      </rPr>
      <t>Ahorro total de gastos de funcionamiento</t>
    </r>
  </si>
  <si>
    <r>
      <rPr>
        <b/>
        <sz val="8"/>
        <color rgb="FF0070C0"/>
        <rFont val="Calibri"/>
        <family val="2"/>
        <scheme val="minor"/>
      </rPr>
      <t>US$/año</t>
    </r>
  </si>
  <si>
    <r>
      <rPr>
        <sz val="8"/>
        <rFont val="Calibri"/>
        <family val="2"/>
        <scheme val="minor"/>
      </rPr>
      <t>m³</t>
    </r>
  </si>
  <si>
    <r>
      <rPr>
        <sz val="8"/>
        <rFont val="Calibri"/>
        <family val="2"/>
        <scheme val="minor"/>
      </rPr>
      <t>---</t>
    </r>
  </si>
  <si>
    <r>
      <rPr>
        <sz val="8"/>
        <rFont val="Calibri"/>
        <family val="2"/>
        <scheme val="minor"/>
      </rPr>
      <t>---</t>
    </r>
  </si>
  <si>
    <r>
      <rPr>
        <sz val="8"/>
        <rFont val="Calibri"/>
        <family val="2"/>
        <scheme val="minor"/>
      </rPr>
      <t>%</t>
    </r>
  </si>
  <si>
    <r>
      <rPr>
        <sz val="8"/>
        <rFont val="Calibri"/>
        <family val="2"/>
        <scheme val="minor"/>
      </rPr>
      <t>m³</t>
    </r>
  </si>
  <si>
    <r>
      <rPr>
        <sz val="8"/>
        <color theme="1"/>
        <rFont val="Calibri"/>
        <family val="2"/>
        <scheme val="minor"/>
      </rPr>
      <t>Almacenador de biogás</t>
    </r>
  </si>
  <si>
    <r>
      <rPr>
        <sz val="8"/>
        <rFont val="Calibri"/>
        <family val="2"/>
        <scheme val="minor"/>
      </rPr>
      <t>m³</t>
    </r>
  </si>
  <si>
    <r>
      <rPr>
        <sz val="8"/>
        <rFont val="Calibri"/>
        <family val="2"/>
        <scheme val="minor"/>
      </rPr>
      <t>kW</t>
    </r>
  </si>
  <si>
    <r>
      <rPr>
        <sz val="8"/>
        <rFont val="Calibri"/>
        <family val="2"/>
        <scheme val="minor"/>
      </rPr>
      <t>¡Verificar requisitos específicos!</t>
    </r>
  </si>
  <si>
    <r>
      <rPr>
        <sz val="8"/>
        <rFont val="Calibri"/>
        <family val="2"/>
        <scheme val="minor"/>
      </rPr>
      <t>---</t>
    </r>
  </si>
  <si>
    <r>
      <rPr>
        <sz val="8"/>
        <rFont val="Calibri"/>
        <family val="2"/>
        <scheme val="minor"/>
      </rPr>
      <t>¡Verificar requisitos específicos!</t>
    </r>
  </si>
  <si>
    <r>
      <rPr>
        <sz val="8"/>
        <rFont val="Calibri"/>
        <family val="2"/>
        <scheme val="minor"/>
      </rPr>
      <t>---</t>
    </r>
  </si>
  <si>
    <r>
      <rPr>
        <b/>
        <sz val="9"/>
        <color theme="0"/>
        <rFont val="Calibri"/>
        <family val="2"/>
        <scheme val="minor"/>
      </rPr>
      <t>Valor</t>
    </r>
  </si>
  <si>
    <r>
      <rPr>
        <b/>
        <sz val="9"/>
        <color theme="0"/>
        <rFont val="Calibri"/>
        <family val="2"/>
        <scheme val="minor"/>
      </rPr>
      <t>Unidad</t>
    </r>
  </si>
  <si>
    <r>
      <rPr>
        <b/>
        <sz val="9"/>
        <color theme="0"/>
        <rFont val="Calibri"/>
        <family val="2"/>
        <scheme val="minor"/>
      </rPr>
      <t>Comentario</t>
    </r>
  </si>
  <si>
    <r>
      <rPr>
        <u/>
        <sz val="8"/>
        <color theme="1"/>
        <rFont val="Calibri"/>
        <family val="2"/>
        <scheme val="minor"/>
      </rPr>
      <t>TRATAMIENTO DE AGUAS RESIDUALES</t>
    </r>
  </si>
  <si>
    <r>
      <rPr>
        <b/>
        <sz val="8"/>
        <color theme="1"/>
        <rFont val="Calibri"/>
        <family val="2"/>
      </rPr>
      <t>▪ Sedimentador primario (PST)</t>
    </r>
  </si>
  <si>
    <r>
      <rPr>
        <sz val="8"/>
        <color theme="1"/>
        <rFont val="Calibri"/>
        <family val="2"/>
        <scheme val="minor"/>
      </rPr>
      <t>¿Está previsto contar con un PST?</t>
    </r>
  </si>
  <si>
    <r>
      <rPr>
        <sz val="8"/>
        <rFont val="Calibri"/>
        <family val="2"/>
        <scheme val="minor"/>
      </rPr>
      <t>SÍ</t>
    </r>
  </si>
  <si>
    <r>
      <rPr>
        <sz val="8"/>
        <rFont val="Calibri"/>
        <family val="2"/>
        <scheme val="minor"/>
      </rPr>
      <t>Seleccione “SÍ” o “NO” del menú desplegable
“SÍ” (se recomienda cuando el afluente de TSS &gt; 80 mg/l), 
“NO” (se recomienda cuando el afluente de TSS &lt; 80 mg/l)</t>
    </r>
  </si>
  <si>
    <r>
      <rPr>
        <sz val="8"/>
        <color theme="1"/>
        <rFont val="Calibri"/>
        <family val="2"/>
        <scheme val="minor"/>
      </rPr>
      <t>Volumen del PST</t>
    </r>
  </si>
  <si>
    <r>
      <rPr>
        <sz val="8"/>
        <rFont val="Calibri"/>
        <family val="2"/>
        <scheme val="minor"/>
      </rPr>
      <t>m³</t>
    </r>
  </si>
  <si>
    <r>
      <rPr>
        <sz val="8"/>
        <color theme="1"/>
        <rFont val="Calibri"/>
        <family val="2"/>
        <scheme val="minor"/>
      </rPr>
      <t>Tiempo de retención promedio en el PST</t>
    </r>
  </si>
  <si>
    <r>
      <rPr>
        <sz val="8"/>
        <rFont val="Calibri"/>
        <family val="2"/>
        <scheme val="minor"/>
      </rPr>
      <t>h</t>
    </r>
  </si>
  <si>
    <r>
      <rPr>
        <sz val="8"/>
        <color theme="1"/>
        <rFont val="Calibri"/>
        <family val="2"/>
        <scheme val="minor"/>
      </rPr>
      <t>Eficiencia de remoción de BOD</t>
    </r>
    <r>
      <rPr>
        <vertAlign val="subscript"/>
        <sz val="8"/>
        <color theme="1"/>
        <rFont val="Calibri"/>
        <family val="2"/>
        <scheme val="minor"/>
      </rPr>
      <t>5</t>
    </r>
    <r>
      <rPr>
        <sz val="8"/>
        <color theme="1"/>
        <rFont val="Calibri"/>
        <family val="2"/>
        <scheme val="minor"/>
      </rPr>
      <t xml:space="preserve"> del PST</t>
    </r>
  </si>
  <si>
    <r>
      <rPr>
        <sz val="8"/>
        <rFont val="Calibri"/>
        <family val="2"/>
        <scheme val="minor"/>
      </rPr>
      <t>%</t>
    </r>
  </si>
  <si>
    <r>
      <rPr>
        <sz val="8"/>
        <color theme="1"/>
        <rFont val="Calibri"/>
        <family val="2"/>
        <scheme val="minor"/>
      </rPr>
      <t>Eficiencia de remoción de TSS del PST</t>
    </r>
  </si>
  <si>
    <r>
      <rPr>
        <sz val="8"/>
        <rFont val="Calibri"/>
        <family val="2"/>
        <scheme val="minor"/>
      </rPr>
      <t>%</t>
    </r>
  </si>
  <si>
    <r>
      <rPr>
        <sz val="8"/>
        <color theme="1"/>
        <rFont val="Calibri"/>
        <family val="2"/>
        <scheme val="minor"/>
      </rPr>
      <t>Carga promedio del afluente de BOD</t>
    </r>
    <r>
      <rPr>
        <vertAlign val="subscript"/>
        <sz val="8"/>
        <color theme="1"/>
        <rFont val="Calibri"/>
        <family val="2"/>
        <scheme val="minor"/>
      </rPr>
      <t>5</t>
    </r>
    <r>
      <rPr>
        <sz val="8"/>
        <color theme="1"/>
        <rFont val="Calibri"/>
        <family val="2"/>
        <scheme val="minor"/>
      </rPr>
      <t xml:space="preserve"> </t>
    </r>
  </si>
  <si>
    <r>
      <rPr>
        <sz val="8"/>
        <rFont val="Calibri"/>
        <family val="2"/>
        <scheme val="minor"/>
      </rPr>
      <t>kg/d</t>
    </r>
  </si>
  <si>
    <r>
      <rPr>
        <sz val="8"/>
        <color theme="1"/>
        <rFont val="Calibri"/>
        <family val="2"/>
        <scheme val="minor"/>
      </rPr>
      <t>Carga promedio del afluente de TSS</t>
    </r>
  </si>
  <si>
    <r>
      <rPr>
        <sz val="8"/>
        <rFont val="Calibri"/>
        <family val="2"/>
        <scheme val="minor"/>
      </rPr>
      <t>kg/d</t>
    </r>
  </si>
  <si>
    <r>
      <rPr>
        <u/>
        <sz val="8"/>
        <color theme="1"/>
        <rFont val="Calibri"/>
        <family val="2"/>
        <scheme val="minor"/>
      </rPr>
      <t>PRODUCCIÓN DE LODO</t>
    </r>
  </si>
  <si>
    <r>
      <rPr>
        <b/>
        <sz val="8"/>
        <color theme="1"/>
        <rFont val="Calibri"/>
        <family val="2"/>
      </rPr>
      <t>▪ Lodo primario</t>
    </r>
  </si>
  <si>
    <r>
      <rPr>
        <sz val="8"/>
        <color theme="1"/>
        <rFont val="Calibri"/>
        <family val="2"/>
        <scheme val="minor"/>
      </rPr>
      <t>Producción de PS diaria (DS)</t>
    </r>
  </si>
  <si>
    <r>
      <rPr>
        <sz val="8"/>
        <rFont val="Calibri"/>
        <family val="2"/>
        <scheme val="minor"/>
      </rPr>
      <t>kgDS/d</t>
    </r>
  </si>
  <si>
    <r>
      <rPr>
        <sz val="8"/>
        <color theme="1"/>
        <rFont val="Calibri"/>
        <family val="2"/>
        <scheme val="minor"/>
      </rPr>
      <t>DS del lodo primario después del espesamiento</t>
    </r>
  </si>
  <si>
    <r>
      <rPr>
        <sz val="8"/>
        <rFont val="Calibri"/>
        <family val="2"/>
        <scheme val="minor"/>
      </rPr>
      <t>%DS</t>
    </r>
  </si>
  <si>
    <r>
      <rPr>
        <sz val="8"/>
        <color theme="1"/>
        <rFont val="Calibri"/>
        <family val="2"/>
        <scheme val="minor"/>
      </rPr>
      <t>VS/DS del lodo primario después del espesamiento</t>
    </r>
  </si>
  <si>
    <r>
      <rPr>
        <sz val="8"/>
        <rFont val="Calibri"/>
        <family val="2"/>
        <scheme val="minor"/>
      </rPr>
      <t>%VS</t>
    </r>
  </si>
  <si>
    <r>
      <rPr>
        <sz val="8"/>
        <rFont val="Calibri"/>
        <family val="2"/>
        <scheme val="minor"/>
      </rPr>
      <t>m³/d</t>
    </r>
  </si>
  <si>
    <r>
      <rPr>
        <b/>
        <sz val="8"/>
        <color theme="1"/>
        <rFont val="Calibri"/>
        <family val="2"/>
      </rPr>
      <t>▪ Lodo secundario</t>
    </r>
  </si>
  <si>
    <r>
      <rPr>
        <sz val="8"/>
        <rFont val="Calibri"/>
        <family val="2"/>
        <scheme val="minor"/>
      </rPr>
      <t>gDS/gBOD</t>
    </r>
    <r>
      <rPr>
        <vertAlign val="subscript"/>
        <sz val="8"/>
        <rFont val="Calibri"/>
        <family val="2"/>
        <scheme val="minor"/>
      </rPr>
      <t>5</t>
    </r>
  </si>
  <si>
    <r>
      <rPr>
        <sz val="8"/>
        <rFont val="Calibri"/>
        <family val="2"/>
        <scheme val="minor"/>
      </rPr>
      <t>kgDS/d</t>
    </r>
  </si>
  <si>
    <r>
      <rPr>
        <sz val="8"/>
        <rFont val="Calibri"/>
        <family val="2"/>
        <scheme val="minor"/>
      </rPr>
      <t>%DS</t>
    </r>
  </si>
  <si>
    <r>
      <rPr>
        <sz val="8"/>
        <rFont val="Calibri"/>
        <family val="2"/>
        <scheme val="minor"/>
      </rPr>
      <t>%VS</t>
    </r>
  </si>
  <si>
    <r>
      <rPr>
        <sz val="8"/>
        <rFont val="Calibri"/>
        <family val="2"/>
        <scheme val="minor"/>
      </rPr>
      <t>m³/d</t>
    </r>
  </si>
  <si>
    <r>
      <rPr>
        <u/>
        <sz val="8"/>
        <color theme="1"/>
        <rFont val="Calibri"/>
        <family val="2"/>
        <scheme val="minor"/>
      </rPr>
      <t>CODIGESTIÓN DE RESIDUOS ORGÁNICOS</t>
    </r>
  </si>
  <si>
    <r>
      <rPr>
        <sz val="8"/>
        <color theme="1"/>
        <rFont val="Calibri"/>
        <family val="2"/>
        <scheme val="minor"/>
      </rPr>
      <t>¿Deberá incluir codigestión el tratamiento de lodo?</t>
    </r>
  </si>
  <si>
    <r>
      <rPr>
        <sz val="8"/>
        <color theme="1"/>
        <rFont val="Calibri"/>
        <family val="2"/>
        <scheme val="minor"/>
      </rPr>
      <t>Tipo de materia prima orgánica</t>
    </r>
  </si>
  <si>
    <r>
      <rPr>
        <sz val="8"/>
        <rFont val="Calibri"/>
        <family val="2"/>
        <scheme val="minor"/>
      </rPr>
      <t>(Mismo supuesto que el anterior para CAS + Digestión)</t>
    </r>
  </si>
  <si>
    <r>
      <rPr>
        <sz val="8"/>
        <rFont val="Calibri"/>
        <family val="2"/>
        <scheme val="minor"/>
      </rPr>
      <t>m³/d</t>
    </r>
  </si>
  <si>
    <r>
      <rPr>
        <sz val="8"/>
        <rFont val="Calibri"/>
        <family val="2"/>
        <scheme val="minor"/>
      </rPr>
      <t>(Mismo supuesto que el anterior para CAS + Digestión)</t>
    </r>
  </si>
  <si>
    <r>
      <rPr>
        <sz val="8"/>
        <color theme="1"/>
        <rFont val="Calibri"/>
        <family val="2"/>
        <scheme val="minor"/>
      </rPr>
      <t>DS de la materia prima orgánica</t>
    </r>
  </si>
  <si>
    <r>
      <rPr>
        <sz val="8"/>
        <rFont val="Calibri"/>
        <family val="2"/>
        <scheme val="minor"/>
      </rPr>
      <t>% de peso</t>
    </r>
  </si>
  <si>
    <r>
      <rPr>
        <sz val="8"/>
        <rFont val="Calibri"/>
        <family val="2"/>
        <scheme val="minor"/>
      </rPr>
      <t>(Mismo supuesto que el anterior para CAS + Digestión)</t>
    </r>
  </si>
  <si>
    <r>
      <rPr>
        <sz val="8"/>
        <color theme="1"/>
        <rFont val="Calibri"/>
        <family val="2"/>
        <scheme val="minor"/>
      </rPr>
      <t>VS/DS de la materia prima orgánica</t>
    </r>
  </si>
  <si>
    <r>
      <rPr>
        <sz val="8"/>
        <rFont val="Calibri"/>
        <family val="2"/>
        <scheme val="minor"/>
      </rPr>
      <t>%VS</t>
    </r>
  </si>
  <si>
    <r>
      <rPr>
        <sz val="8"/>
        <rFont val="Calibri"/>
        <family val="2"/>
        <scheme val="minor"/>
      </rPr>
      <t>(Mismo supuesto que el anterior para CAS + Digestión)</t>
    </r>
  </si>
  <si>
    <r>
      <rPr>
        <u/>
        <sz val="8"/>
        <color theme="1"/>
        <rFont val="Calibri"/>
        <family val="2"/>
        <scheme val="minor"/>
      </rPr>
      <t>DIGESTOR</t>
    </r>
  </si>
  <si>
    <r>
      <rPr>
        <sz val="8"/>
        <color theme="1"/>
        <rFont val="Calibri"/>
        <family val="2"/>
        <scheme val="minor"/>
      </rPr>
      <t>Tiempo de retención del digestor</t>
    </r>
  </si>
  <si>
    <r>
      <rPr>
        <sz val="8"/>
        <rFont val="Calibri"/>
        <family val="2"/>
        <scheme val="minor"/>
      </rPr>
      <t>días</t>
    </r>
  </si>
  <si>
    <r>
      <rPr>
        <sz val="8"/>
        <color theme="1"/>
        <rFont val="Calibri"/>
        <family val="2"/>
        <scheme val="minor"/>
      </rPr>
      <t>Volumen requerido del digestor</t>
    </r>
  </si>
  <si>
    <r>
      <rPr>
        <sz val="8"/>
        <rFont val="Calibri"/>
        <family val="2"/>
        <scheme val="minor"/>
      </rPr>
      <t>m³</t>
    </r>
  </si>
  <si>
    <r>
      <rPr>
        <b/>
        <sz val="8"/>
        <color theme="1"/>
        <rFont val="Calibri"/>
        <family val="2"/>
      </rPr>
      <t xml:space="preserve">▪ </t>
    </r>
    <r>
      <rPr>
        <b/>
        <sz val="8"/>
        <color theme="1"/>
        <rFont val="Calibri"/>
        <family val="2"/>
        <scheme val="minor"/>
      </rPr>
      <t>m</t>
    </r>
    <r>
      <rPr>
        <b/>
        <vertAlign val="superscript"/>
        <sz val="8"/>
        <color theme="1"/>
        <rFont val="Calibri"/>
        <family val="2"/>
        <scheme val="minor"/>
      </rPr>
      <t>3</t>
    </r>
    <r>
      <rPr>
        <b/>
        <sz val="8"/>
        <color theme="1"/>
        <rFont val="Calibri"/>
        <family val="2"/>
        <scheme val="minor"/>
      </rPr>
      <t>/d de alimentación</t>
    </r>
  </si>
  <si>
    <r>
      <rPr>
        <sz val="8"/>
        <color theme="1"/>
        <rFont val="Calibri"/>
        <family val="2"/>
        <scheme val="minor"/>
      </rPr>
      <t>Alimentación promedio de PS</t>
    </r>
  </si>
  <si>
    <r>
      <rPr>
        <sz val="8"/>
        <rFont val="Calibri"/>
        <family val="2"/>
        <scheme val="minor"/>
      </rPr>
      <t>m³/d</t>
    </r>
  </si>
  <si>
    <r>
      <rPr>
        <sz val="8"/>
        <rFont val="Calibri"/>
        <family val="2"/>
        <scheme val="minor"/>
      </rPr>
      <t>m³/d</t>
    </r>
  </si>
  <si>
    <r>
      <rPr>
        <sz val="8"/>
        <color theme="1"/>
        <rFont val="Calibri"/>
        <family val="2"/>
        <scheme val="minor"/>
      </rPr>
      <t>Alimentación promedio de materia prima orgánica</t>
    </r>
  </si>
  <si>
    <r>
      <rPr>
        <sz val="8"/>
        <rFont val="Calibri"/>
        <family val="2"/>
        <scheme val="minor"/>
      </rPr>
      <t>m³/d</t>
    </r>
  </si>
  <si>
    <r>
      <rPr>
        <sz val="8"/>
        <color theme="1"/>
        <rFont val="Calibri"/>
        <family val="2"/>
        <scheme val="minor"/>
      </rPr>
      <t>Promedio total de alimentación</t>
    </r>
  </si>
  <si>
    <r>
      <rPr>
        <sz val="8"/>
        <rFont val="Calibri"/>
        <family val="2"/>
        <scheme val="minor"/>
      </rPr>
      <t>m³/d</t>
    </r>
  </si>
  <si>
    <r>
      <rPr>
        <b/>
        <sz val="8"/>
        <color theme="1"/>
        <rFont val="Calibri"/>
        <family val="2"/>
      </rPr>
      <t>▪ Alimentación</t>
    </r>
    <r>
      <rPr>
        <b/>
        <sz val="8"/>
        <color theme="1"/>
        <rFont val="Calibri"/>
        <family val="2"/>
        <scheme val="minor"/>
      </rPr>
      <t xml:space="preserve"> del DS</t>
    </r>
  </si>
  <si>
    <r>
      <rPr>
        <sz val="8"/>
        <color theme="1"/>
        <rFont val="Calibri"/>
        <family val="2"/>
        <scheme val="minor"/>
      </rPr>
      <t>Alimentación promedio de PS</t>
    </r>
  </si>
  <si>
    <r>
      <rPr>
        <sz val="8"/>
        <rFont val="Calibri"/>
        <family val="2"/>
        <scheme val="minor"/>
      </rPr>
      <t>kgDS/d</t>
    </r>
  </si>
  <si>
    <r>
      <rPr>
        <sz val="8"/>
        <color theme="1"/>
        <rFont val="Calibri"/>
        <family val="2"/>
        <scheme val="minor"/>
      </rPr>
      <t>Alimentación promedio de WAS</t>
    </r>
  </si>
  <si>
    <r>
      <rPr>
        <sz val="8"/>
        <rFont val="Calibri"/>
        <family val="2"/>
        <scheme val="minor"/>
      </rPr>
      <t>kgDS/d</t>
    </r>
  </si>
  <si>
    <r>
      <rPr>
        <sz val="8"/>
        <color theme="1"/>
        <rFont val="Calibri"/>
        <family val="2"/>
        <scheme val="minor"/>
      </rPr>
      <t>Alimentación promedio de materia prima orgánica</t>
    </r>
  </si>
  <si>
    <r>
      <rPr>
        <sz val="8"/>
        <rFont val="Calibri"/>
        <family val="2"/>
        <scheme val="minor"/>
      </rPr>
      <t>kgDS/d</t>
    </r>
  </si>
  <si>
    <r>
      <rPr>
        <sz val="8"/>
        <color theme="1"/>
        <rFont val="Calibri"/>
        <family val="2"/>
        <scheme val="minor"/>
      </rPr>
      <t>Promedio total de alimentación</t>
    </r>
  </si>
  <si>
    <r>
      <rPr>
        <sz val="8"/>
        <rFont val="Calibri"/>
        <family val="2"/>
        <scheme val="minor"/>
      </rPr>
      <t>kgDS/d</t>
    </r>
  </si>
  <si>
    <r>
      <rPr>
        <b/>
        <sz val="8"/>
        <color theme="1"/>
        <rFont val="Calibri"/>
        <family val="2"/>
      </rPr>
      <t>▪ Alimentación</t>
    </r>
    <r>
      <rPr>
        <b/>
        <sz val="8"/>
        <color theme="1"/>
        <rFont val="Calibri"/>
        <family val="2"/>
        <scheme val="minor"/>
      </rPr>
      <t xml:space="preserve"> del VS</t>
    </r>
  </si>
  <si>
    <r>
      <rPr>
        <sz val="8"/>
        <color theme="1"/>
        <rFont val="Calibri"/>
        <family val="2"/>
        <scheme val="minor"/>
      </rPr>
      <t>Alimentación promedio de PS</t>
    </r>
  </si>
  <si>
    <r>
      <rPr>
        <sz val="8"/>
        <rFont val="Calibri"/>
        <family val="2"/>
        <scheme val="minor"/>
      </rPr>
      <t>kgVS/d</t>
    </r>
  </si>
  <si>
    <r>
      <rPr>
        <sz val="8"/>
        <color theme="1"/>
        <rFont val="Calibri"/>
        <family val="2"/>
        <scheme val="minor"/>
      </rPr>
      <t>Alimentación promedio de WAS</t>
    </r>
  </si>
  <si>
    <r>
      <rPr>
        <sz val="8"/>
        <rFont val="Calibri"/>
        <family val="2"/>
        <scheme val="minor"/>
      </rPr>
      <t>kgVS/d</t>
    </r>
  </si>
  <si>
    <r>
      <rPr>
        <sz val="8"/>
        <color theme="1"/>
        <rFont val="Calibri"/>
        <family val="2"/>
        <scheme val="minor"/>
      </rPr>
      <t>Alimentación promedio de materia prima orgánica</t>
    </r>
  </si>
  <si>
    <r>
      <rPr>
        <sz val="8"/>
        <rFont val="Calibri"/>
        <family val="2"/>
        <scheme val="minor"/>
      </rPr>
      <t>kgVS/d</t>
    </r>
  </si>
  <si>
    <r>
      <rPr>
        <sz val="8"/>
        <color theme="1"/>
        <rFont val="Calibri"/>
        <family val="2"/>
        <scheme val="minor"/>
      </rPr>
      <t>Promedio total de alimentación</t>
    </r>
  </si>
  <si>
    <r>
      <rPr>
        <sz val="8"/>
        <rFont val="Calibri"/>
        <family val="2"/>
        <scheme val="minor"/>
      </rPr>
      <t>kgVS/d</t>
    </r>
  </si>
  <si>
    <r>
      <rPr>
        <b/>
        <sz val="8"/>
        <color theme="1"/>
        <rFont val="Calibri"/>
        <family val="2"/>
      </rPr>
      <t>▪ Destrucción</t>
    </r>
    <r>
      <rPr>
        <b/>
        <sz val="8"/>
        <color theme="1"/>
        <rFont val="Calibri"/>
        <family val="2"/>
        <scheme val="minor"/>
      </rPr>
      <t xml:space="preserve"> de VS (%)</t>
    </r>
  </si>
  <si>
    <r>
      <rPr>
        <sz val="8"/>
        <color theme="1"/>
        <rFont val="Calibri"/>
        <family val="2"/>
        <scheme val="minor"/>
      </rPr>
      <t>VS promedio de la destrucción de PS</t>
    </r>
  </si>
  <si>
    <r>
      <rPr>
        <sz val="8"/>
        <rFont val="Calibri"/>
        <family val="2"/>
        <scheme val="minor"/>
      </rPr>
      <t>% de VS</t>
    </r>
  </si>
  <si>
    <r>
      <rPr>
        <sz val="8"/>
        <rFont val="Calibri"/>
        <family val="2"/>
        <scheme val="minor"/>
      </rPr>
      <t>(Mismo supuesto que el anterior para CAS + Digestión)</t>
    </r>
  </si>
  <si>
    <r>
      <rPr>
        <sz val="8"/>
        <rFont val="Calibri"/>
        <family val="2"/>
        <scheme val="minor"/>
      </rPr>
      <t>% de VS</t>
    </r>
  </si>
  <si>
    <r>
      <rPr>
        <sz val="8"/>
        <rFont val="Calibri"/>
        <family val="2"/>
        <scheme val="minor"/>
      </rPr>
      <t>(Mismo supuesto que el anterior para CAS + Digestión)</t>
    </r>
  </si>
  <si>
    <r>
      <rPr>
        <sz val="8"/>
        <color theme="1"/>
        <rFont val="Calibri"/>
        <family val="2"/>
        <scheme val="minor"/>
      </rPr>
      <t>VS promedio de la destrucción de materia prima orgánica</t>
    </r>
  </si>
  <si>
    <r>
      <rPr>
        <sz val="8"/>
        <rFont val="Calibri"/>
        <family val="2"/>
        <scheme val="minor"/>
      </rPr>
      <t>% de VS</t>
    </r>
  </si>
  <si>
    <r>
      <rPr>
        <sz val="8"/>
        <rFont val="Calibri"/>
        <family val="2"/>
        <scheme val="minor"/>
      </rPr>
      <t>(Mismo supuesto que el anterior para CAS + Digestión)</t>
    </r>
  </si>
  <si>
    <r>
      <rPr>
        <b/>
        <sz val="8"/>
        <color theme="1"/>
        <rFont val="Calibri"/>
        <family val="2"/>
      </rPr>
      <t>▪ Destrucción</t>
    </r>
    <r>
      <rPr>
        <b/>
        <sz val="8"/>
        <color theme="1"/>
        <rFont val="Calibri"/>
        <family val="2"/>
        <scheme val="minor"/>
      </rPr>
      <t xml:space="preserve"> de VS (kgVS)</t>
    </r>
  </si>
  <si>
    <r>
      <rPr>
        <sz val="8"/>
        <color theme="1"/>
        <rFont val="Calibri"/>
        <family val="2"/>
        <scheme val="minor"/>
      </rPr>
      <t>VS promedio de la destrucción de PS</t>
    </r>
  </si>
  <si>
    <r>
      <rPr>
        <sz val="8"/>
        <rFont val="Calibri"/>
        <family val="2"/>
        <scheme val="minor"/>
      </rPr>
      <t>kgVS</t>
    </r>
    <r>
      <rPr>
        <vertAlign val="subscript"/>
        <sz val="8"/>
        <rFont val="Calibri"/>
        <family val="2"/>
        <scheme val="minor"/>
      </rPr>
      <t>destroyed</t>
    </r>
    <r>
      <rPr>
        <sz val="8"/>
        <rFont val="Calibri"/>
        <family val="2"/>
        <scheme val="minor"/>
      </rPr>
      <t>/d</t>
    </r>
  </si>
  <si>
    <r>
      <rPr>
        <sz val="8"/>
        <color theme="1"/>
        <rFont val="Calibri"/>
        <family val="2"/>
        <scheme val="minor"/>
      </rPr>
      <t>VS promedio de la destrucción de WAS</t>
    </r>
  </si>
  <si>
    <r>
      <rPr>
        <sz val="8"/>
        <rFont val="Calibri"/>
        <family val="2"/>
        <scheme val="minor"/>
      </rPr>
      <t>kgVS</t>
    </r>
    <r>
      <rPr>
        <vertAlign val="subscript"/>
        <sz val="8"/>
        <rFont val="Calibri"/>
        <family val="2"/>
        <scheme val="minor"/>
      </rPr>
      <t>destroyed</t>
    </r>
    <r>
      <rPr>
        <sz val="8"/>
        <rFont val="Calibri"/>
        <family val="2"/>
        <scheme val="minor"/>
      </rPr>
      <t>/d</t>
    </r>
  </si>
  <si>
    <r>
      <rPr>
        <sz val="8"/>
        <color theme="1"/>
        <rFont val="Calibri"/>
        <family val="2"/>
        <scheme val="minor"/>
      </rPr>
      <t>VS promedio de la destrucción de materia prima orgánica</t>
    </r>
  </si>
  <si>
    <r>
      <rPr>
        <sz val="8"/>
        <rFont val="Calibri"/>
        <family val="2"/>
        <scheme val="minor"/>
      </rPr>
      <t>kgVS</t>
    </r>
    <r>
      <rPr>
        <vertAlign val="subscript"/>
        <sz val="8"/>
        <rFont val="Calibri"/>
        <family val="2"/>
        <scheme val="minor"/>
      </rPr>
      <t>destroyed</t>
    </r>
    <r>
      <rPr>
        <sz val="8"/>
        <rFont val="Calibri"/>
        <family val="2"/>
        <scheme val="minor"/>
      </rPr>
      <t>/d</t>
    </r>
  </si>
  <si>
    <r>
      <rPr>
        <sz val="8"/>
        <color theme="1"/>
        <rFont val="Calibri"/>
        <family val="2"/>
        <scheme val="minor"/>
      </rPr>
      <t>Promedio total de la destrucción de PS</t>
    </r>
  </si>
  <si>
    <r>
      <rPr>
        <sz val="8"/>
        <rFont val="Calibri"/>
        <family val="2"/>
        <scheme val="minor"/>
      </rPr>
      <t>kgVS</t>
    </r>
    <r>
      <rPr>
        <vertAlign val="subscript"/>
        <sz val="8"/>
        <rFont val="Calibri"/>
        <family val="2"/>
        <scheme val="minor"/>
      </rPr>
      <t>destroyed</t>
    </r>
    <r>
      <rPr>
        <sz val="8"/>
        <rFont val="Calibri"/>
        <family val="2"/>
        <scheme val="minor"/>
      </rPr>
      <t>/d</t>
    </r>
  </si>
  <si>
    <r>
      <rPr>
        <u/>
        <sz val="8"/>
        <color theme="1"/>
        <rFont val="Calibri"/>
        <family val="2"/>
        <scheme val="minor"/>
      </rPr>
      <t>LODO PARA ELIMINACIÓN / REUTILIZACIÓN</t>
    </r>
  </si>
  <si>
    <r>
      <rPr>
        <sz val="8"/>
        <rFont val="Calibri"/>
        <family val="2"/>
        <scheme val="minor"/>
      </rPr>
      <t>%DS</t>
    </r>
  </si>
  <si>
    <r>
      <rPr>
        <sz val="8"/>
        <rFont val="Calibri"/>
        <family val="2"/>
        <scheme val="minor"/>
      </rPr>
      <t>(Mismo supuesto que el anterior para CAS + Digestión)</t>
    </r>
  </si>
  <si>
    <r>
      <rPr>
        <sz val="8"/>
        <color theme="1"/>
        <rFont val="Calibri"/>
        <family val="2"/>
        <scheme val="minor"/>
      </rPr>
      <t>Producción promedio total de DS</t>
    </r>
  </si>
  <si>
    <r>
      <rPr>
        <sz val="8"/>
        <rFont val="Calibri"/>
        <family val="2"/>
        <scheme val="minor"/>
      </rPr>
      <t>kgDS/d</t>
    </r>
  </si>
  <si>
    <r>
      <rPr>
        <sz val="8"/>
        <color theme="1"/>
        <rFont val="Calibri"/>
        <family val="2"/>
        <scheme val="minor"/>
      </rPr>
      <t>Producción total de DS específico</t>
    </r>
  </si>
  <si>
    <r>
      <rPr>
        <sz val="8"/>
        <rFont val="Calibri"/>
        <family val="2"/>
        <scheme val="minor"/>
      </rPr>
      <t>gDS/PE</t>
    </r>
    <r>
      <rPr>
        <vertAlign val="subscript"/>
        <sz val="8"/>
        <rFont val="Calibri"/>
        <family val="2"/>
        <scheme val="minor"/>
      </rPr>
      <t>60</t>
    </r>
    <r>
      <rPr>
        <sz val="8"/>
        <rFont val="Calibri"/>
        <family val="2"/>
        <scheme val="minor"/>
      </rPr>
      <t>/d</t>
    </r>
  </si>
  <si>
    <r>
      <rPr>
        <sz val="8"/>
        <rFont val="Calibri"/>
        <family val="2"/>
        <scheme val="minor"/>
      </rPr>
      <t>gDS/cap/d</t>
    </r>
  </si>
  <si>
    <r>
      <rPr>
        <sz val="8"/>
        <rFont val="Calibri"/>
        <family val="2"/>
        <scheme val="minor"/>
      </rPr>
      <t>m³/d</t>
    </r>
  </si>
  <si>
    <r>
      <rPr>
        <sz val="8"/>
        <rFont val="Calibri"/>
        <family val="2"/>
        <scheme val="minor"/>
      </rPr>
      <t>m³/año</t>
    </r>
  </si>
  <si>
    <r>
      <rPr>
        <u/>
        <sz val="8"/>
        <color theme="1"/>
        <rFont val="Calibri"/>
        <family val="2"/>
        <scheme val="minor"/>
      </rPr>
      <t>PRODUCCIÓN DE BIOGÁS</t>
    </r>
  </si>
  <si>
    <r>
      <rPr>
        <sz val="8"/>
        <color theme="1"/>
        <rFont val="Calibri"/>
        <family val="2"/>
        <scheme val="minor"/>
      </rPr>
      <t>Volumen del almacenador de biogás</t>
    </r>
  </si>
  <si>
    <r>
      <rPr>
        <sz val="8"/>
        <rFont val="Calibri"/>
        <family val="2"/>
        <scheme val="minor"/>
      </rPr>
      <t>% de producción de gas diaria</t>
    </r>
  </si>
  <si>
    <r>
      <rPr>
        <sz val="8"/>
        <rFont val="Calibri"/>
        <family val="2"/>
        <scheme val="minor"/>
      </rPr>
      <t>(Mismo supuesto que el anterior para CAS + Digestión)</t>
    </r>
  </si>
  <si>
    <r>
      <rPr>
        <sz val="8"/>
        <color theme="1"/>
        <rFont val="Calibri"/>
        <family val="2"/>
        <scheme val="minor"/>
      </rPr>
      <t>Volumen requerido del almacenador de biogás</t>
    </r>
  </si>
  <si>
    <r>
      <rPr>
        <sz val="8"/>
        <rFont val="Calibri"/>
        <family val="2"/>
        <scheme val="minor"/>
      </rPr>
      <t>m³</t>
    </r>
  </si>
  <si>
    <r>
      <rPr>
        <b/>
        <sz val="8"/>
        <color theme="1"/>
        <rFont val="Calibri"/>
        <family val="2"/>
      </rPr>
      <t>▪ Rendimiento de biogás</t>
    </r>
  </si>
  <si>
    <r>
      <rPr>
        <sz val="8"/>
        <color theme="1"/>
        <rFont val="Calibri"/>
        <family val="2"/>
        <scheme val="minor"/>
      </rPr>
      <t>Rendimiento de biogás a partir de PS</t>
    </r>
  </si>
  <si>
    <r>
      <rPr>
        <sz val="8"/>
        <rFont val="Calibri"/>
        <family val="2"/>
        <scheme val="minor"/>
      </rPr>
      <t>L/kgVS</t>
    </r>
    <r>
      <rPr>
        <vertAlign val="subscript"/>
        <sz val="8"/>
        <rFont val="Calibri"/>
        <family val="2"/>
        <scheme val="minor"/>
      </rPr>
      <t>destroyed</t>
    </r>
  </si>
  <si>
    <r>
      <rPr>
        <sz val="8"/>
        <rFont val="Calibri"/>
        <family val="2"/>
        <scheme val="minor"/>
      </rPr>
      <t>(Mismo supuesto que el anterior para CAS + Digestión)</t>
    </r>
  </si>
  <si>
    <r>
      <rPr>
        <sz val="8"/>
        <rFont val="Calibri"/>
        <family val="2"/>
        <scheme val="minor"/>
      </rPr>
      <t>L/kgVS</t>
    </r>
    <r>
      <rPr>
        <vertAlign val="subscript"/>
        <sz val="8"/>
        <rFont val="Calibri"/>
        <family val="2"/>
        <scheme val="minor"/>
      </rPr>
      <t>destroyed</t>
    </r>
  </si>
  <si>
    <r>
      <rPr>
        <sz val="8"/>
        <rFont val="Calibri"/>
        <family val="2"/>
        <scheme val="minor"/>
      </rPr>
      <t>(Mismo supuesto que el anterior para CAS + Digestión)</t>
    </r>
  </si>
  <si>
    <r>
      <rPr>
        <sz val="8"/>
        <color theme="1"/>
        <rFont val="Calibri"/>
        <family val="2"/>
        <scheme val="minor"/>
      </rPr>
      <t>Rendimiento de biogás a partir de la materia orgánica</t>
    </r>
  </si>
  <si>
    <r>
      <rPr>
        <sz val="8"/>
        <rFont val="Calibri"/>
        <family val="2"/>
        <scheme val="minor"/>
      </rPr>
      <t>L/kgVS</t>
    </r>
    <r>
      <rPr>
        <vertAlign val="subscript"/>
        <sz val="8"/>
        <rFont val="Calibri"/>
        <family val="2"/>
        <scheme val="minor"/>
      </rPr>
      <t>destroyed</t>
    </r>
  </si>
  <si>
    <r>
      <rPr>
        <sz val="8"/>
        <rFont val="Calibri"/>
        <family val="2"/>
        <scheme val="minor"/>
      </rPr>
      <t>(Mismo supuesto que el anterior para CAS + Digestión)</t>
    </r>
  </si>
  <si>
    <r>
      <rPr>
        <b/>
        <sz val="8"/>
        <color theme="1"/>
        <rFont val="Calibri"/>
        <family val="2"/>
      </rPr>
      <t>▪ Producción de biogás</t>
    </r>
  </si>
  <si>
    <r>
      <rPr>
        <sz val="8"/>
        <color theme="1"/>
        <rFont val="Calibri"/>
        <family val="2"/>
        <scheme val="minor"/>
      </rPr>
      <t>Producción de biogás a partir de PS</t>
    </r>
  </si>
  <si>
    <r>
      <rPr>
        <sz val="8"/>
        <rFont val="Calibri"/>
        <family val="2"/>
        <scheme val="minor"/>
      </rPr>
      <t>m³/d</t>
    </r>
  </si>
  <si>
    <r>
      <rPr>
        <sz val="8"/>
        <rFont val="Calibri"/>
        <family val="2"/>
        <scheme val="minor"/>
      </rPr>
      <t>m³/d</t>
    </r>
  </si>
  <si>
    <r>
      <rPr>
        <sz val="8"/>
        <color theme="1"/>
        <rFont val="Calibri"/>
        <family val="2"/>
        <scheme val="minor"/>
      </rPr>
      <t>Producción de biogás a partir de la materia orgánica</t>
    </r>
  </si>
  <si>
    <r>
      <rPr>
        <sz val="8"/>
        <rFont val="Calibri"/>
        <family val="2"/>
        <scheme val="minor"/>
      </rPr>
      <t>m³/d</t>
    </r>
  </si>
  <si>
    <r>
      <rPr>
        <sz val="8"/>
        <color theme="1"/>
        <rFont val="Calibri"/>
        <family val="2"/>
        <scheme val="minor"/>
      </rPr>
      <t>Producción total de biogás</t>
    </r>
  </si>
  <si>
    <r>
      <rPr>
        <sz val="8"/>
        <rFont val="Calibri"/>
        <family val="2"/>
        <scheme val="minor"/>
      </rPr>
      <t>m³/d</t>
    </r>
  </si>
  <si>
    <r>
      <rPr>
        <sz val="8"/>
        <rFont val="Calibri"/>
        <family val="2"/>
        <scheme val="minor"/>
      </rPr>
      <t>m³/año</t>
    </r>
  </si>
  <si>
    <r>
      <rPr>
        <sz val="8"/>
        <color theme="1"/>
        <rFont val="Calibri"/>
        <family val="2"/>
        <scheme val="minor"/>
      </rPr>
      <t>Producción total de biogás específico</t>
    </r>
  </si>
  <si>
    <r>
      <rPr>
        <sz val="8"/>
        <rFont val="Calibri"/>
        <family val="2"/>
        <scheme val="minor"/>
      </rPr>
      <t>L/PE</t>
    </r>
    <r>
      <rPr>
        <vertAlign val="subscript"/>
        <sz val="8"/>
        <rFont val="Calibri"/>
        <family val="2"/>
        <scheme val="minor"/>
      </rPr>
      <t>60</t>
    </r>
    <r>
      <rPr>
        <sz val="8"/>
        <rFont val="Calibri"/>
        <family val="2"/>
        <scheme val="minor"/>
      </rPr>
      <t>/d</t>
    </r>
  </si>
  <si>
    <r>
      <rPr>
        <sz val="8"/>
        <rFont val="Calibri"/>
        <family val="2"/>
        <scheme val="minor"/>
      </rPr>
      <t>L/cap/d</t>
    </r>
  </si>
  <si>
    <r>
      <rPr>
        <b/>
        <sz val="8"/>
        <color theme="1"/>
        <rFont val="Calibri"/>
        <family val="2"/>
      </rPr>
      <t>▪ Contenido de metano del biogás</t>
    </r>
  </si>
  <si>
    <r>
      <rPr>
        <sz val="8"/>
        <rFont val="Calibri"/>
        <family val="2"/>
        <scheme val="minor"/>
      </rPr>
      <t>% CH</t>
    </r>
    <r>
      <rPr>
        <vertAlign val="subscript"/>
        <sz val="8"/>
        <rFont val="Calibri"/>
        <family val="2"/>
        <scheme val="minor"/>
      </rPr>
      <t>4</t>
    </r>
  </si>
  <si>
    <r>
      <rPr>
        <sz val="8"/>
        <rFont val="Calibri"/>
        <family val="2"/>
        <scheme val="minor"/>
      </rPr>
      <t>(Mismo supuesto que el anterior para CAS + Digestión)</t>
    </r>
  </si>
  <si>
    <r>
      <rPr>
        <sz val="8"/>
        <rFont val="Calibri"/>
        <family val="2"/>
        <scheme val="minor"/>
      </rPr>
      <t>% CH</t>
    </r>
    <r>
      <rPr>
        <vertAlign val="subscript"/>
        <sz val="8"/>
        <rFont val="Calibri"/>
        <family val="2"/>
        <scheme val="minor"/>
      </rPr>
      <t>4</t>
    </r>
  </si>
  <si>
    <r>
      <rPr>
        <sz val="8"/>
        <rFont val="Calibri"/>
        <family val="2"/>
        <scheme val="minor"/>
      </rPr>
      <t>(Mismo supuesto que el anterior para CAS + Digestión)</t>
    </r>
  </si>
  <si>
    <r>
      <rPr>
        <sz val="8"/>
        <color theme="1"/>
        <rFont val="Calibri"/>
        <family val="2"/>
        <scheme val="minor"/>
      </rPr>
      <t>Metano en la producción total de biogás</t>
    </r>
  </si>
  <si>
    <r>
      <rPr>
        <sz val="8"/>
        <rFont val="Calibri"/>
        <family val="2"/>
        <scheme val="minor"/>
      </rPr>
      <t>% CH</t>
    </r>
    <r>
      <rPr>
        <vertAlign val="subscript"/>
        <sz val="8"/>
        <rFont val="Calibri"/>
        <family val="2"/>
        <scheme val="minor"/>
      </rPr>
      <t>4</t>
    </r>
  </si>
  <si>
    <r>
      <rPr>
        <u/>
        <sz val="8"/>
        <color theme="1"/>
        <rFont val="Calibri"/>
        <family val="2"/>
        <scheme val="minor"/>
      </rPr>
      <t>ENERGÍA A PARTIR DE BIOGÁS</t>
    </r>
  </si>
  <si>
    <r>
      <rPr>
        <sz val="8"/>
        <color theme="1"/>
        <rFont val="Calibri"/>
        <family val="2"/>
        <scheme val="minor"/>
      </rPr>
      <t>Valor calorífico del biogás</t>
    </r>
  </si>
  <si>
    <r>
      <rPr>
        <sz val="8"/>
        <rFont val="Calibri"/>
        <family val="2"/>
        <scheme val="minor"/>
      </rPr>
      <t>kWh/m</t>
    </r>
    <r>
      <rPr>
        <vertAlign val="superscript"/>
        <sz val="8"/>
        <rFont val="Calibri"/>
        <family val="2"/>
        <scheme val="minor"/>
      </rPr>
      <t>3</t>
    </r>
  </si>
  <si>
    <r>
      <rPr>
        <sz val="8"/>
        <rFont val="Calibri"/>
        <family val="2"/>
        <scheme val="minor"/>
      </rPr>
      <t>(Mismo supuesto que el anterior para CAS + Digestión)</t>
    </r>
  </si>
  <si>
    <r>
      <rPr>
        <sz val="8"/>
        <rFont val="Calibri"/>
        <family val="2"/>
        <scheme val="minor"/>
      </rPr>
      <t>kWh/d</t>
    </r>
  </si>
  <si>
    <r>
      <rPr>
        <sz val="8"/>
        <rFont val="Calibri"/>
        <family val="2"/>
        <scheme val="minor"/>
      </rPr>
      <t>kWh/PE</t>
    </r>
    <r>
      <rPr>
        <vertAlign val="subscript"/>
        <sz val="8"/>
        <rFont val="Calibri"/>
        <family val="2"/>
        <scheme val="minor"/>
      </rPr>
      <t>60</t>
    </r>
    <r>
      <rPr>
        <sz val="8"/>
        <rFont val="Calibri"/>
        <family val="2"/>
        <scheme val="minor"/>
      </rPr>
      <t>/año</t>
    </r>
  </si>
  <si>
    <r>
      <rPr>
        <sz val="8"/>
        <rFont val="Calibri"/>
        <family val="2"/>
        <scheme val="minor"/>
      </rPr>
      <t>kWh/año</t>
    </r>
  </si>
  <si>
    <r>
      <rPr>
        <sz val="8"/>
        <rFont val="Calibri"/>
        <family val="2"/>
        <scheme val="minor"/>
      </rPr>
      <t>kWh/PE</t>
    </r>
    <r>
      <rPr>
        <vertAlign val="subscript"/>
        <sz val="8"/>
        <rFont val="Calibri"/>
        <family val="2"/>
        <scheme val="minor"/>
      </rPr>
      <t>60</t>
    </r>
    <r>
      <rPr>
        <sz val="8"/>
        <rFont val="Calibri"/>
        <family val="2"/>
        <scheme val="minor"/>
      </rPr>
      <t>/año</t>
    </r>
  </si>
  <si>
    <r>
      <rPr>
        <sz val="8"/>
        <rFont val="Calibri"/>
        <family val="2"/>
        <scheme val="minor"/>
      </rPr>
      <t>kWh/d</t>
    </r>
  </si>
  <si>
    <r>
      <rPr>
        <sz val="8"/>
        <rFont val="Calibri"/>
        <family val="2"/>
        <scheme val="minor"/>
      </rPr>
      <t>kWh/año</t>
    </r>
  </si>
  <si>
    <r>
      <rPr>
        <sz val="8"/>
        <color theme="1"/>
        <rFont val="Calibri"/>
        <family val="2"/>
        <scheme val="minor"/>
      </rPr>
      <t>Cobertura de electricidad de la planta de tratamiento (WWTP) a partir del biogás</t>
    </r>
  </si>
  <si>
    <r>
      <rPr>
        <sz val="8"/>
        <rFont val="Calibri"/>
        <family val="2"/>
        <scheme val="minor"/>
      </rPr>
      <t>% de consumo</t>
    </r>
  </si>
  <si>
    <r>
      <rPr>
        <sz val="8"/>
        <color theme="1"/>
        <rFont val="Calibri"/>
        <family val="2"/>
        <scheme val="minor"/>
      </rPr>
      <t>CHP: Eficiencia de la generación de energía térmica</t>
    </r>
  </si>
  <si>
    <r>
      <rPr>
        <sz val="8"/>
        <rFont val="Calibri"/>
        <family val="2"/>
        <scheme val="minor"/>
      </rPr>
      <t>%</t>
    </r>
  </si>
  <si>
    <r>
      <rPr>
        <sz val="8"/>
        <rFont val="Calibri"/>
        <family val="2"/>
        <scheme val="minor"/>
      </rPr>
      <t>(Mismo supuesto que el anterior para CAS + Digestión)</t>
    </r>
  </si>
  <si>
    <r>
      <rPr>
        <sz val="8"/>
        <color theme="1"/>
        <rFont val="Calibri"/>
        <family val="2"/>
        <scheme val="minor"/>
      </rPr>
      <t>Generación de energía térmica</t>
    </r>
  </si>
  <si>
    <r>
      <rPr>
        <sz val="8"/>
        <rFont val="Calibri"/>
        <family val="2"/>
        <scheme val="minor"/>
      </rPr>
      <t>kWh/d</t>
    </r>
  </si>
  <si>
    <r>
      <rPr>
        <sz val="8"/>
        <rFont val="Calibri"/>
        <family val="2"/>
        <scheme val="minor"/>
      </rPr>
      <t>kWh/año</t>
    </r>
  </si>
  <si>
    <r>
      <rPr>
        <u/>
        <sz val="8"/>
        <color theme="1"/>
        <rFont val="Calibri"/>
        <family val="2"/>
        <scheme val="minor"/>
      </rPr>
      <t>REDUCCIÓN DE LAS EMISIONES DE GAS DE EFECTO INVERNADERO (GEI)</t>
    </r>
  </si>
  <si>
    <r>
      <rPr>
        <sz val="8"/>
        <color theme="1"/>
        <rFont val="Calibri"/>
        <family val="2"/>
        <scheme val="minor"/>
      </rPr>
      <t>Emisiones de GEI locales a partir de la generación de electricidad</t>
    </r>
  </si>
  <si>
    <r>
      <rPr>
        <sz val="8"/>
        <rFont val="Calibri"/>
        <family val="2"/>
        <scheme val="minor"/>
      </rPr>
      <t>g CO</t>
    </r>
    <r>
      <rPr>
        <vertAlign val="subscript"/>
        <sz val="8"/>
        <rFont val="Calibri"/>
        <family val="2"/>
        <scheme val="minor"/>
      </rPr>
      <t>2</t>
    </r>
    <r>
      <rPr>
        <sz val="8"/>
        <rFont val="Calibri"/>
        <family val="2"/>
        <scheme val="minor"/>
      </rPr>
      <t>/kWh</t>
    </r>
  </si>
  <si>
    <r>
      <rPr>
        <sz val="8"/>
        <color theme="1"/>
        <rFont val="Calibri"/>
        <family val="2"/>
        <scheme val="minor"/>
      </rPr>
      <t>Producción de electricidad a partir de biogás renovable</t>
    </r>
  </si>
  <si>
    <r>
      <rPr>
        <sz val="8"/>
        <rFont val="Calibri"/>
        <family val="2"/>
        <scheme val="minor"/>
      </rPr>
      <t>kWh/año</t>
    </r>
  </si>
  <si>
    <r>
      <rPr>
        <sz val="8"/>
        <color theme="1"/>
        <rFont val="Calibri"/>
        <family val="2"/>
        <scheme val="minor"/>
      </rPr>
      <t>Reducción de las emisiones de GEI por medio de electricidad a partir de biogás</t>
    </r>
  </si>
  <si>
    <r>
      <rPr>
        <sz val="8"/>
        <rFont val="Calibri"/>
        <family val="2"/>
        <scheme val="minor"/>
      </rPr>
      <t>toneladas de CO</t>
    </r>
    <r>
      <rPr>
        <vertAlign val="subscript"/>
        <sz val="8"/>
        <rFont val="Calibri"/>
        <family val="2"/>
        <scheme val="minor"/>
      </rPr>
      <t>2e</t>
    </r>
    <r>
      <rPr>
        <sz val="8"/>
        <rFont val="Calibri"/>
        <family val="2"/>
        <scheme val="minor"/>
      </rPr>
      <t>/año</t>
    </r>
  </si>
  <si>
    <r>
      <rPr>
        <sz val="8"/>
        <rFont val="Calibri"/>
        <family val="2"/>
        <scheme val="minor"/>
      </rPr>
      <t>Esta es la emisión de CO</t>
    </r>
    <r>
      <rPr>
        <vertAlign val="subscript"/>
        <sz val="8"/>
        <rFont val="Calibri"/>
        <family val="2"/>
        <scheme val="minor"/>
      </rPr>
      <t>2e</t>
    </r>
    <r>
      <rPr>
        <sz val="8"/>
        <rFont val="Calibri"/>
        <family val="2"/>
        <scheme val="minor"/>
      </rPr>
      <t xml:space="preserve"> fósil (evitada) que se evade a través de la utilización de biogás renovable para la generación de energía.</t>
    </r>
  </si>
  <si>
    <r>
      <rPr>
        <sz val="8"/>
        <color theme="1"/>
        <rFont val="Calibri"/>
        <family val="2"/>
        <scheme val="minor"/>
      </rPr>
      <t>Eliminación de las emisiones de GEI provenientes del digestor</t>
    </r>
  </si>
  <si>
    <r>
      <rPr>
        <sz val="8"/>
        <rFont val="Calibri"/>
        <family val="2"/>
        <scheme val="minor"/>
      </rPr>
      <t>toneladas de CO</t>
    </r>
    <r>
      <rPr>
        <vertAlign val="subscript"/>
        <sz val="8"/>
        <rFont val="Calibri"/>
        <family val="2"/>
        <scheme val="minor"/>
      </rPr>
      <t>2e</t>
    </r>
    <r>
      <rPr>
        <sz val="8"/>
        <rFont val="Calibri"/>
        <family val="2"/>
        <scheme val="minor"/>
      </rPr>
      <t>/año</t>
    </r>
  </si>
  <si>
    <r>
      <rPr>
        <sz val="8"/>
        <rFont val="Calibri"/>
        <family val="2"/>
        <scheme val="minor"/>
      </rPr>
      <t>El biogás en cuestión se puede tomar en consideración únicamente si la emisión del mismo ocurrió antes de este proyecto; si el biogás es generado y utilizado por el proyecto, este no se puede considerar como una reducción de emisión.</t>
    </r>
  </si>
  <si>
    <r>
      <rPr>
        <sz val="8"/>
        <color theme="1"/>
        <rFont val="Calibri"/>
        <family val="2"/>
        <scheme val="minor"/>
      </rPr>
      <t>Reducción total de las emisiones de GEI</t>
    </r>
  </si>
  <si>
    <r>
      <rPr>
        <b/>
        <sz val="8"/>
        <color rgb="FF0070C0"/>
        <rFont val="Calibri"/>
        <family val="2"/>
        <scheme val="minor"/>
      </rPr>
      <t>toneladas de CO</t>
    </r>
    <r>
      <rPr>
        <b/>
        <vertAlign val="subscript"/>
        <sz val="8"/>
        <color rgb="FF0070C0"/>
        <rFont val="Calibri"/>
        <family val="2"/>
        <scheme val="minor"/>
      </rPr>
      <t>2e</t>
    </r>
    <r>
      <rPr>
        <b/>
        <sz val="8"/>
        <color rgb="FF0070C0"/>
        <rFont val="Calibri"/>
        <family val="2"/>
        <scheme val="minor"/>
      </rPr>
      <t>/año</t>
    </r>
  </si>
  <si>
    <r>
      <rPr>
        <u/>
        <sz val="8"/>
        <color theme="1"/>
        <rFont val="Calibri"/>
        <family val="2"/>
        <scheme val="minor"/>
      </rPr>
      <t>AHORROS DE GASTOS DE FUNCIONAMIENTO</t>
    </r>
  </si>
  <si>
    <r>
      <rPr>
        <sz val="8"/>
        <color theme="1"/>
        <rFont val="Calibri"/>
        <family val="2"/>
        <scheme val="minor"/>
      </rPr>
      <t>Tarifa eléctrica</t>
    </r>
  </si>
  <si>
    <r>
      <rPr>
        <sz val="8"/>
        <rFont val="Calibri"/>
        <family val="2"/>
        <scheme val="minor"/>
      </rPr>
      <t>US$/kWh</t>
    </r>
  </si>
  <si>
    <r>
      <rPr>
        <sz val="8"/>
        <color theme="1"/>
        <rFont val="Calibri"/>
        <family val="2"/>
        <scheme val="minor"/>
      </rPr>
      <t>Reducción del costo de electricidad</t>
    </r>
  </si>
  <si>
    <r>
      <rPr>
        <sz val="8"/>
        <rFont val="Calibri"/>
        <family val="2"/>
        <scheme val="minor"/>
      </rPr>
      <t>US$/d</t>
    </r>
  </si>
  <si>
    <r>
      <rPr>
        <sz val="8"/>
        <rFont val="Calibri"/>
        <family val="2"/>
        <scheme val="minor"/>
      </rPr>
      <t>(El ahorro es equivalente a la producción de electricidad a partir del biogás)</t>
    </r>
  </si>
  <si>
    <r>
      <rPr>
        <b/>
        <sz val="8"/>
        <rFont val="Calibri"/>
        <family val="2"/>
        <scheme val="minor"/>
      </rPr>
      <t>US$/año</t>
    </r>
  </si>
  <si>
    <r>
      <rPr>
        <sz val="8"/>
        <color theme="1"/>
        <rFont val="Calibri"/>
        <family val="2"/>
        <scheme val="minor"/>
      </rPr>
      <t>Costo unitario de evacuación de lodo</t>
    </r>
  </si>
  <si>
    <r>
      <rPr>
        <sz val="8"/>
        <rFont val="Calibri"/>
        <family val="2"/>
        <scheme val="minor"/>
      </rPr>
      <t>US$/m</t>
    </r>
    <r>
      <rPr>
        <vertAlign val="superscript"/>
        <sz val="8"/>
        <rFont val="Calibri"/>
        <family val="2"/>
        <scheme val="minor"/>
      </rPr>
      <t>3</t>
    </r>
  </si>
  <si>
    <r>
      <rPr>
        <sz val="8"/>
        <color theme="1"/>
        <rFont val="Calibri"/>
        <family val="2"/>
        <scheme val="minor"/>
      </rPr>
      <t>Reducción del costo de evacuación de lodo</t>
    </r>
  </si>
  <si>
    <r>
      <rPr>
        <sz val="8"/>
        <rFont val="Calibri"/>
        <family val="2"/>
        <scheme val="minor"/>
      </rPr>
      <t>m³/d</t>
    </r>
  </si>
  <si>
    <r>
      <rPr>
        <sz val="8"/>
        <rFont val="Calibri"/>
        <family val="2"/>
        <scheme val="minor"/>
      </rPr>
      <t>m³/año</t>
    </r>
  </si>
  <si>
    <r>
      <rPr>
        <b/>
        <sz val="8"/>
        <rFont val="Calibri"/>
        <family val="2"/>
        <scheme val="minor"/>
      </rPr>
      <t>US$/año</t>
    </r>
  </si>
  <si>
    <r>
      <rPr>
        <b/>
        <sz val="8"/>
        <rFont val="Calibri"/>
        <family val="2"/>
        <scheme val="minor"/>
      </rPr>
      <t>US$/año</t>
    </r>
  </si>
  <si>
    <r>
      <rPr>
        <sz val="8"/>
        <rFont val="Calibri"/>
        <family val="2"/>
        <scheme val="minor"/>
      </rPr>
      <t>(Mismo supuesto que el anterior para CAS + Digestión)</t>
    </r>
  </si>
  <si>
    <r>
      <rPr>
        <sz val="8"/>
        <color theme="1"/>
        <rFont val="Calibri"/>
        <family val="2"/>
        <scheme val="minor"/>
      </rPr>
      <t>Costo de mantenimiento adicional</t>
    </r>
  </si>
  <si>
    <r>
      <rPr>
        <b/>
        <sz val="8"/>
        <rFont val="Calibri"/>
        <family val="2"/>
        <scheme val="minor"/>
      </rPr>
      <t>US$/año</t>
    </r>
  </si>
  <si>
    <r>
      <rPr>
        <sz val="8"/>
        <rFont val="Calibri"/>
        <family val="2"/>
        <scheme val="minor"/>
      </rPr>
      <t>(Mismo supuesto que el anterior para CAS + Digestión)</t>
    </r>
  </si>
  <si>
    <r>
      <rPr>
        <b/>
        <sz val="8"/>
        <color rgb="FF0070C0"/>
        <rFont val="Calibri"/>
        <family val="2"/>
        <scheme val="minor"/>
      </rPr>
      <t>Ahorro total de gastos de funcionamiento</t>
    </r>
  </si>
  <si>
    <r>
      <rPr>
        <b/>
        <sz val="8"/>
        <color rgb="FF0070C0"/>
        <rFont val="Calibri"/>
        <family val="2"/>
        <scheme val="minor"/>
      </rPr>
      <t>US$/año</t>
    </r>
  </si>
  <si>
    <r>
      <rPr>
        <u/>
        <sz val="8"/>
        <color theme="1"/>
        <rFont val="Calibri"/>
        <family val="2"/>
        <scheme val="minor"/>
      </rPr>
      <t>REQUISITOS DE INSTALACIÓN</t>
    </r>
  </si>
  <si>
    <r>
      <rPr>
        <sz val="8"/>
        <color theme="1"/>
        <rFont val="Calibri"/>
        <family val="2"/>
        <scheme val="minor"/>
      </rPr>
      <t>Sedimentador primario</t>
    </r>
  </si>
  <si>
    <r>
      <rPr>
        <sz val="8"/>
        <rFont val="Calibri"/>
        <family val="2"/>
        <scheme val="minor"/>
      </rPr>
      <t>m³</t>
    </r>
  </si>
  <si>
    <r>
      <rPr>
        <sz val="8"/>
        <color theme="1"/>
        <rFont val="Calibri"/>
        <family val="2"/>
        <scheme val="minor"/>
      </rPr>
      <t>Tratamiento previo de residuos orgánicos</t>
    </r>
  </si>
  <si>
    <r>
      <rPr>
        <sz val="8"/>
        <rFont val="Calibri"/>
        <family val="2"/>
        <scheme val="minor"/>
      </rPr>
      <t>¡Verificar requisitos específicos!</t>
    </r>
  </si>
  <si>
    <r>
      <rPr>
        <sz val="8"/>
        <rFont val="Calibri"/>
        <family val="2"/>
        <scheme val="minor"/>
      </rPr>
      <t>---</t>
    </r>
  </si>
  <si>
    <r>
      <rPr>
        <sz val="8"/>
        <color theme="1"/>
        <rFont val="Calibri"/>
        <family val="2"/>
        <scheme val="minor"/>
      </rPr>
      <t>Volumen del digestor</t>
    </r>
  </si>
  <si>
    <r>
      <rPr>
        <sz val="8"/>
        <rFont val="Calibri"/>
        <family val="2"/>
        <scheme val="minor"/>
      </rPr>
      <t>m³</t>
    </r>
  </si>
  <si>
    <r>
      <rPr>
        <sz val="8"/>
        <color theme="1"/>
        <rFont val="Calibri"/>
        <family val="2"/>
        <scheme val="minor"/>
      </rPr>
      <t>Almacenador de biogás</t>
    </r>
  </si>
  <si>
    <r>
      <rPr>
        <sz val="8"/>
        <rFont val="Calibri"/>
        <family val="2"/>
        <scheme val="minor"/>
      </rPr>
      <t>m³</t>
    </r>
  </si>
  <si>
    <r>
      <rPr>
        <sz val="8"/>
        <rFont val="Calibri"/>
        <family val="2"/>
        <scheme val="minor"/>
      </rPr>
      <t>kW</t>
    </r>
  </si>
  <si>
    <r>
      <rPr>
        <sz val="8"/>
        <rFont val="Calibri"/>
        <family val="2"/>
        <scheme val="minor"/>
      </rPr>
      <t xml:space="preserve">Supuesto: tiempo de operación promedio = 20 h/d </t>
    </r>
  </si>
  <si>
    <r>
      <rPr>
        <sz val="8"/>
        <rFont val="Calibri"/>
        <family val="2"/>
        <scheme val="minor"/>
      </rPr>
      <t>kW / unidad</t>
    </r>
  </si>
  <si>
    <r>
      <rPr>
        <sz val="8"/>
        <rFont val="Calibri"/>
        <family val="2"/>
        <scheme val="minor"/>
      </rPr>
      <t>Basado en 2 unidades</t>
    </r>
  </si>
  <si>
    <r>
      <rPr>
        <sz val="8"/>
        <color theme="1"/>
        <rFont val="Calibri"/>
        <family val="2"/>
        <scheme val="minor"/>
      </rPr>
      <t>Limpieza de biogás</t>
    </r>
  </si>
  <si>
    <r>
      <rPr>
        <sz val="8"/>
        <rFont val="Calibri"/>
        <family val="2"/>
        <scheme val="minor"/>
      </rPr>
      <t>¡Verificar requisitos específicos!</t>
    </r>
  </si>
  <si>
    <r>
      <rPr>
        <sz val="8"/>
        <rFont val="Calibri"/>
        <family val="2"/>
        <scheme val="minor"/>
      </rPr>
      <t>---</t>
    </r>
  </si>
  <si>
    <r>
      <rPr>
        <sz val="8"/>
        <color theme="1"/>
        <rFont val="Calibri"/>
        <family val="2"/>
        <scheme val="minor"/>
      </rPr>
      <t>Sistema de tuberías de biogás, brote, etc.</t>
    </r>
  </si>
  <si>
    <r>
      <rPr>
        <sz val="8"/>
        <rFont val="Calibri"/>
        <family val="2"/>
        <scheme val="minor"/>
      </rPr>
      <t>¡Verificar requisitos específicos!</t>
    </r>
  </si>
  <si>
    <r>
      <rPr>
        <sz val="8"/>
        <rFont val="Calibri"/>
        <family val="2"/>
        <scheme val="minor"/>
      </rPr>
      <t>---</t>
    </r>
  </si>
  <si>
    <r>
      <rPr>
        <b/>
        <sz val="9"/>
        <color theme="0"/>
        <rFont val="Calibri"/>
        <family val="2"/>
        <scheme val="minor"/>
      </rPr>
      <t>UASB</t>
    </r>
  </si>
  <si>
    <r>
      <rPr>
        <b/>
        <sz val="9"/>
        <color theme="0"/>
        <rFont val="Calibri"/>
        <family val="2"/>
        <scheme val="minor"/>
      </rPr>
      <t>Valor</t>
    </r>
  </si>
  <si>
    <r>
      <rPr>
        <b/>
        <sz val="9"/>
        <color theme="0"/>
        <rFont val="Calibri"/>
        <family val="2"/>
        <scheme val="minor"/>
      </rPr>
      <t>Unidad</t>
    </r>
  </si>
  <si>
    <r>
      <rPr>
        <b/>
        <sz val="9"/>
        <color theme="0"/>
        <rFont val="Calibri"/>
        <family val="2"/>
        <scheme val="minor"/>
      </rPr>
      <t>Comentario</t>
    </r>
  </si>
  <si>
    <r>
      <rPr>
        <u/>
        <sz val="8"/>
        <color theme="1"/>
        <rFont val="Calibri"/>
        <family val="2"/>
        <scheme val="minor"/>
      </rPr>
      <t>TRATAMIENTO DE AGUAS RESIDUALES</t>
    </r>
  </si>
  <si>
    <r>
      <rPr>
        <sz val="8"/>
        <color theme="1"/>
        <rFont val="Calibri"/>
        <family val="2"/>
        <scheme val="minor"/>
      </rPr>
      <t>Carga promedio del afluente de BOD</t>
    </r>
    <r>
      <rPr>
        <vertAlign val="subscript"/>
        <sz val="8"/>
        <color theme="1"/>
        <rFont val="Calibri"/>
        <family val="2"/>
        <scheme val="minor"/>
      </rPr>
      <t>5</t>
    </r>
    <r>
      <rPr>
        <sz val="8"/>
        <color theme="1"/>
        <rFont val="Calibri"/>
        <family val="2"/>
        <scheme val="minor"/>
      </rPr>
      <t xml:space="preserve"> </t>
    </r>
  </si>
  <si>
    <r>
      <rPr>
        <sz val="8"/>
        <rFont val="Calibri"/>
        <family val="2"/>
        <scheme val="minor"/>
      </rPr>
      <t>kg/d</t>
    </r>
  </si>
  <si>
    <r>
      <rPr>
        <sz val="8"/>
        <color theme="1"/>
        <rFont val="Calibri"/>
        <family val="2"/>
        <scheme val="minor"/>
      </rPr>
      <t>Carga promedio del afluente de TSS</t>
    </r>
  </si>
  <si>
    <r>
      <rPr>
        <sz val="8"/>
        <rFont val="Calibri"/>
        <family val="2"/>
        <scheme val="minor"/>
      </rPr>
      <t>kg/d</t>
    </r>
  </si>
  <si>
    <r>
      <rPr>
        <u/>
        <sz val="8"/>
        <color theme="1"/>
        <rFont val="Calibri"/>
        <family val="2"/>
        <scheme val="minor"/>
      </rPr>
      <t>PRODUCCIÓN DE LODO</t>
    </r>
  </si>
  <si>
    <r>
      <rPr>
        <b/>
        <sz val="8"/>
        <color theme="1"/>
        <rFont val="Calibri"/>
        <family val="2"/>
      </rPr>
      <t>▪ Lodo secundario</t>
    </r>
  </si>
  <si>
    <r>
      <rPr>
        <sz val="8"/>
        <rFont val="Calibri"/>
        <family val="2"/>
        <scheme val="minor"/>
      </rPr>
      <t>gDS/gBOD</t>
    </r>
    <r>
      <rPr>
        <vertAlign val="subscript"/>
        <sz val="8"/>
        <rFont val="Calibri"/>
        <family val="2"/>
        <scheme val="minor"/>
      </rPr>
      <t>5</t>
    </r>
  </si>
  <si>
    <r>
      <rPr>
        <sz val="8"/>
        <rFont val="Calibri"/>
        <family val="2"/>
        <scheme val="minor"/>
      </rPr>
      <t>kgDS/d</t>
    </r>
  </si>
  <si>
    <r>
      <rPr>
        <sz val="8"/>
        <rFont val="Calibri"/>
        <family val="2"/>
        <scheme val="minor"/>
      </rPr>
      <t>%DS</t>
    </r>
  </si>
  <si>
    <r>
      <rPr>
        <sz val="8"/>
        <rFont val="Calibri"/>
        <family val="2"/>
        <scheme val="minor"/>
      </rPr>
      <t>%DS</t>
    </r>
  </si>
  <si>
    <r>
      <rPr>
        <sz val="8"/>
        <rFont val="Calibri"/>
        <family val="2"/>
        <scheme val="minor"/>
      </rPr>
      <t>%VS</t>
    </r>
  </si>
  <si>
    <r>
      <rPr>
        <sz val="8"/>
        <rFont val="Calibri"/>
        <family val="2"/>
        <scheme val="minor"/>
      </rPr>
      <t>m³/d</t>
    </r>
  </si>
  <si>
    <r>
      <rPr>
        <u/>
        <sz val="8"/>
        <color theme="1"/>
        <rFont val="Calibri"/>
        <family val="2"/>
        <scheme val="minor"/>
      </rPr>
      <t>LODO PARA ELIMINACIÓN / REUTILIZACIÓN</t>
    </r>
  </si>
  <si>
    <r>
      <rPr>
        <sz val="8"/>
        <rFont val="Calibri"/>
        <family val="2"/>
        <scheme val="minor"/>
      </rPr>
      <t>%DS</t>
    </r>
  </si>
  <si>
    <r>
      <rPr>
        <sz val="8"/>
        <color theme="1"/>
        <rFont val="Calibri"/>
        <family val="2"/>
        <scheme val="minor"/>
      </rPr>
      <t>Producción promedio total de DS</t>
    </r>
  </si>
  <si>
    <r>
      <rPr>
        <sz val="8"/>
        <rFont val="Calibri"/>
        <family val="2"/>
        <scheme val="minor"/>
      </rPr>
      <t>kgDS/d</t>
    </r>
  </si>
  <si>
    <r>
      <rPr>
        <sz val="8"/>
        <color theme="1"/>
        <rFont val="Calibri"/>
        <family val="2"/>
        <scheme val="minor"/>
      </rPr>
      <t>Producción total de DS específico</t>
    </r>
  </si>
  <si>
    <r>
      <rPr>
        <sz val="8"/>
        <rFont val="Calibri"/>
        <family val="2"/>
        <scheme val="minor"/>
      </rPr>
      <t>gDS/PE</t>
    </r>
    <r>
      <rPr>
        <vertAlign val="subscript"/>
        <sz val="8"/>
        <rFont val="Calibri"/>
        <family val="2"/>
        <scheme val="minor"/>
      </rPr>
      <t>60</t>
    </r>
    <r>
      <rPr>
        <sz val="8"/>
        <rFont val="Calibri"/>
        <family val="2"/>
        <scheme val="minor"/>
      </rPr>
      <t>/d</t>
    </r>
  </si>
  <si>
    <r>
      <rPr>
        <sz val="8"/>
        <rFont val="Calibri"/>
        <family val="2"/>
        <scheme val="minor"/>
      </rPr>
      <t>gDS/cap/d</t>
    </r>
  </si>
  <si>
    <r>
      <rPr>
        <sz val="8"/>
        <rFont val="Calibri"/>
        <family val="2"/>
        <scheme val="minor"/>
      </rPr>
      <t>m³/d</t>
    </r>
  </si>
  <si>
    <r>
      <rPr>
        <sz val="8"/>
        <rFont val="Calibri"/>
        <family val="2"/>
        <scheme val="minor"/>
      </rPr>
      <t>m³/año</t>
    </r>
  </si>
  <si>
    <r>
      <rPr>
        <u/>
        <sz val="8"/>
        <color theme="1"/>
        <rFont val="Calibri"/>
        <family val="2"/>
        <scheme val="minor"/>
      </rPr>
      <t>PRODUCCIÓN DE BIOGÁS</t>
    </r>
  </si>
  <si>
    <r>
      <rPr>
        <sz val="8"/>
        <color theme="1"/>
        <rFont val="Calibri"/>
        <family val="2"/>
        <scheme val="minor"/>
      </rPr>
      <t>Volumen del almacenador de biogás</t>
    </r>
  </si>
  <si>
    <r>
      <rPr>
        <sz val="8"/>
        <rFont val="Calibri"/>
        <family val="2"/>
        <scheme val="minor"/>
      </rPr>
      <t>% de producción de gas diaria</t>
    </r>
  </si>
  <si>
    <r>
      <rPr>
        <sz val="8"/>
        <rFont val="Calibri"/>
        <family val="2"/>
        <scheme val="minor"/>
      </rPr>
      <t>(Mismo supuesto que el anterior para CAS + Digestión)</t>
    </r>
  </si>
  <si>
    <r>
      <rPr>
        <sz val="8"/>
        <color theme="1"/>
        <rFont val="Calibri"/>
        <family val="2"/>
        <scheme val="minor"/>
      </rPr>
      <t>Volumen requerido del almacenador de biogás</t>
    </r>
  </si>
  <si>
    <r>
      <rPr>
        <sz val="8"/>
        <rFont val="Calibri"/>
        <family val="2"/>
        <scheme val="minor"/>
      </rPr>
      <t>m³</t>
    </r>
  </si>
  <si>
    <r>
      <rPr>
        <b/>
        <sz val="8"/>
        <color theme="1"/>
        <rFont val="Calibri"/>
        <family val="2"/>
      </rPr>
      <t>▪ Rendimiento de biogás</t>
    </r>
  </si>
  <si>
    <r>
      <rPr>
        <b/>
        <sz val="8"/>
        <color theme="1"/>
        <rFont val="Calibri"/>
        <family val="2"/>
      </rPr>
      <t>▪ Producción de biogás</t>
    </r>
  </si>
  <si>
    <r>
      <rPr>
        <sz val="8"/>
        <color theme="1"/>
        <rFont val="Calibri"/>
        <family val="2"/>
        <scheme val="minor"/>
      </rPr>
      <t>Producción de biogás</t>
    </r>
  </si>
  <si>
    <r>
      <rPr>
        <sz val="8"/>
        <rFont val="Calibri"/>
        <family val="2"/>
        <scheme val="minor"/>
      </rPr>
      <t>m³/d</t>
    </r>
  </si>
  <si>
    <r>
      <rPr>
        <sz val="8"/>
        <rFont val="Calibri"/>
        <family val="2"/>
        <scheme val="minor"/>
      </rPr>
      <t>m³/año</t>
    </r>
  </si>
  <si>
    <r>
      <rPr>
        <sz val="8"/>
        <color theme="1"/>
        <rFont val="Calibri"/>
        <family val="2"/>
        <scheme val="minor"/>
      </rPr>
      <t>Producción total de biogás específico</t>
    </r>
  </si>
  <si>
    <r>
      <rPr>
        <sz val="8"/>
        <rFont val="Calibri"/>
        <family val="2"/>
        <scheme val="minor"/>
      </rPr>
      <t>L/PE</t>
    </r>
    <r>
      <rPr>
        <vertAlign val="subscript"/>
        <sz val="8"/>
        <rFont val="Calibri"/>
        <family val="2"/>
        <scheme val="minor"/>
      </rPr>
      <t>60</t>
    </r>
    <r>
      <rPr>
        <sz val="8"/>
        <rFont val="Calibri"/>
        <family val="2"/>
        <scheme val="minor"/>
      </rPr>
      <t>/d</t>
    </r>
  </si>
  <si>
    <r>
      <rPr>
        <sz val="8"/>
        <rFont val="Calibri"/>
        <family val="2"/>
        <scheme val="minor"/>
      </rPr>
      <t>L/cap/d</t>
    </r>
  </si>
  <si>
    <r>
      <rPr>
        <b/>
        <sz val="8"/>
        <color theme="1"/>
        <rFont val="Calibri"/>
        <family val="2"/>
      </rPr>
      <t>▪ Contenido de metano del biogás</t>
    </r>
  </si>
  <si>
    <r>
      <rPr>
        <sz val="8"/>
        <rFont val="Calibri"/>
        <family val="2"/>
        <scheme val="minor"/>
      </rPr>
      <t>% CH</t>
    </r>
    <r>
      <rPr>
        <vertAlign val="subscript"/>
        <sz val="8"/>
        <rFont val="Calibri"/>
        <family val="2"/>
        <scheme val="minor"/>
      </rPr>
      <t>4</t>
    </r>
  </si>
  <si>
    <r>
      <rPr>
        <u/>
        <sz val="8"/>
        <color theme="1"/>
        <rFont val="Calibri"/>
        <family val="2"/>
        <scheme val="minor"/>
      </rPr>
      <t>ENERGÍA A PARTIR DE BIOGÁS</t>
    </r>
  </si>
  <si>
    <r>
      <rPr>
        <sz val="8"/>
        <color theme="1"/>
        <rFont val="Calibri"/>
        <family val="2"/>
        <scheme val="minor"/>
      </rPr>
      <t>Valor calorífico del biogás</t>
    </r>
  </si>
  <si>
    <r>
      <rPr>
        <sz val="8"/>
        <rFont val="Calibri"/>
        <family val="2"/>
        <scheme val="minor"/>
      </rPr>
      <t>kWh/m</t>
    </r>
    <r>
      <rPr>
        <vertAlign val="superscript"/>
        <sz val="8"/>
        <rFont val="Calibri"/>
        <family val="2"/>
        <scheme val="minor"/>
      </rPr>
      <t>3</t>
    </r>
  </si>
  <si>
    <r>
      <rPr>
        <b/>
        <sz val="8"/>
        <color theme="1"/>
        <rFont val="Calibri"/>
        <family val="2"/>
      </rPr>
      <t>▪ Electricidad</t>
    </r>
  </si>
  <si>
    <r>
      <rPr>
        <sz val="8"/>
        <color theme="1"/>
        <rFont val="Calibri"/>
        <family val="2"/>
        <scheme val="minor"/>
      </rPr>
      <t>CHP: Eficiencia de la generación de energía eléctrica</t>
    </r>
  </si>
  <si>
    <r>
      <rPr>
        <sz val="8"/>
        <rFont val="Calibri"/>
        <family val="2"/>
        <scheme val="minor"/>
      </rPr>
      <t>%</t>
    </r>
  </si>
  <si>
    <r>
      <rPr>
        <sz val="8"/>
        <color theme="1"/>
        <rFont val="Calibri"/>
        <family val="2"/>
        <scheme val="minor"/>
      </rPr>
      <t>Generación de electricidad a partir de biogás</t>
    </r>
  </si>
  <si>
    <r>
      <rPr>
        <sz val="8"/>
        <rFont val="Calibri"/>
        <family val="2"/>
        <scheme val="minor"/>
      </rPr>
      <t>kWh/d</t>
    </r>
  </si>
  <si>
    <r>
      <rPr>
        <sz val="8"/>
        <rFont val="Calibri"/>
        <family val="2"/>
        <scheme val="minor"/>
      </rPr>
      <t>kWh/PE</t>
    </r>
    <r>
      <rPr>
        <vertAlign val="subscript"/>
        <sz val="8"/>
        <rFont val="Calibri"/>
        <family val="2"/>
        <scheme val="minor"/>
      </rPr>
      <t>60</t>
    </r>
    <r>
      <rPr>
        <sz val="8"/>
        <rFont val="Calibri"/>
        <family val="2"/>
        <scheme val="minor"/>
      </rPr>
      <t>/año</t>
    </r>
  </si>
  <si>
    <r>
      <rPr>
        <sz val="8"/>
        <rFont val="Calibri"/>
        <family val="2"/>
        <scheme val="minor"/>
      </rPr>
      <t>kWh/año</t>
    </r>
  </si>
  <si>
    <r>
      <rPr>
        <sz val="8"/>
        <rFont val="Calibri"/>
        <family val="2"/>
        <scheme val="minor"/>
      </rPr>
      <t>kWh/PE</t>
    </r>
    <r>
      <rPr>
        <vertAlign val="subscript"/>
        <sz val="8"/>
        <rFont val="Calibri"/>
        <family val="2"/>
        <scheme val="minor"/>
      </rPr>
      <t>60</t>
    </r>
    <r>
      <rPr>
        <sz val="8"/>
        <rFont val="Calibri"/>
        <family val="2"/>
        <scheme val="minor"/>
      </rPr>
      <t>/año</t>
    </r>
  </si>
  <si>
    <r>
      <rPr>
        <sz val="8"/>
        <rFont val="Calibri"/>
        <family val="2"/>
        <scheme val="minor"/>
      </rPr>
      <t>kWh/d</t>
    </r>
  </si>
  <si>
    <r>
      <rPr>
        <sz val="8"/>
        <rFont val="Calibri"/>
        <family val="2"/>
        <scheme val="minor"/>
      </rPr>
      <t>kWh/año</t>
    </r>
  </si>
  <si>
    <r>
      <rPr>
        <sz val="8"/>
        <color theme="1"/>
        <rFont val="Calibri"/>
        <family val="2"/>
        <scheme val="minor"/>
      </rPr>
      <t>Cobertura de electricidad de la planta de tratamiento (WWTP) a partir del biogás</t>
    </r>
  </si>
  <si>
    <r>
      <rPr>
        <sz val="8"/>
        <rFont val="Calibri"/>
        <family val="2"/>
        <scheme val="minor"/>
      </rPr>
      <t>% de consumo</t>
    </r>
  </si>
  <si>
    <r>
      <rPr>
        <b/>
        <sz val="8"/>
        <color theme="1"/>
        <rFont val="Calibri"/>
        <family val="2"/>
      </rPr>
      <t>▪ Energía térmica</t>
    </r>
  </si>
  <si>
    <r>
      <rPr>
        <sz val="8"/>
        <color theme="1"/>
        <rFont val="Calibri"/>
        <family val="2"/>
        <scheme val="minor"/>
      </rPr>
      <t>CHP: Eficiencia de la generación de energía térmica</t>
    </r>
  </si>
  <si>
    <r>
      <rPr>
        <sz val="8"/>
        <rFont val="Calibri"/>
        <family val="2"/>
        <scheme val="minor"/>
      </rPr>
      <t>%</t>
    </r>
  </si>
  <si>
    <r>
      <rPr>
        <sz val="8"/>
        <color theme="1"/>
        <rFont val="Calibri"/>
        <family val="2"/>
        <scheme val="minor"/>
      </rPr>
      <t>Generación de energía térmica</t>
    </r>
  </si>
  <si>
    <r>
      <rPr>
        <sz val="8"/>
        <rFont val="Calibri"/>
        <family val="2"/>
        <scheme val="minor"/>
      </rPr>
      <t>kWh/d</t>
    </r>
  </si>
  <si>
    <r>
      <rPr>
        <sz val="8"/>
        <rFont val="Calibri"/>
        <family val="2"/>
        <scheme val="minor"/>
      </rPr>
      <t>kWh/año</t>
    </r>
  </si>
  <si>
    <r>
      <rPr>
        <u/>
        <sz val="8"/>
        <color theme="1"/>
        <rFont val="Calibri"/>
        <family val="2"/>
        <scheme val="minor"/>
      </rPr>
      <t>REDUCCIÓN DE LAS EMISIONES DE GAS DE EFECTO INVERNADERO (GEI)</t>
    </r>
  </si>
  <si>
    <r>
      <rPr>
        <sz val="8"/>
        <color theme="1"/>
        <rFont val="Calibri"/>
        <family val="2"/>
        <scheme val="minor"/>
      </rPr>
      <t>Emisiones de GEI locales a partir de la generación de electricidad</t>
    </r>
  </si>
  <si>
    <r>
      <rPr>
        <sz val="8"/>
        <rFont val="Calibri"/>
        <family val="2"/>
        <scheme val="minor"/>
      </rPr>
      <t>g CO</t>
    </r>
    <r>
      <rPr>
        <vertAlign val="subscript"/>
        <sz val="8"/>
        <rFont val="Calibri"/>
        <family val="2"/>
        <scheme val="minor"/>
      </rPr>
      <t>2</t>
    </r>
    <r>
      <rPr>
        <sz val="8"/>
        <rFont val="Calibri"/>
        <family val="2"/>
        <scheme val="minor"/>
      </rPr>
      <t>/kWh</t>
    </r>
  </si>
  <si>
    <r>
      <rPr>
        <sz val="8"/>
        <color theme="1"/>
        <rFont val="Calibri"/>
        <family val="2"/>
        <scheme val="minor"/>
      </rPr>
      <t>Producción de electricidad a partir de biogás renovable</t>
    </r>
  </si>
  <si>
    <r>
      <rPr>
        <sz val="8"/>
        <rFont val="Calibri"/>
        <family val="2"/>
        <scheme val="minor"/>
      </rPr>
      <t>kWh/año</t>
    </r>
  </si>
  <si>
    <r>
      <rPr>
        <sz val="8"/>
        <color theme="1"/>
        <rFont val="Calibri"/>
        <family val="2"/>
        <scheme val="minor"/>
      </rPr>
      <t>Reducción de las emisiones de GEI por medio de electricidad a partir de biogás</t>
    </r>
  </si>
  <si>
    <r>
      <rPr>
        <sz val="8"/>
        <rFont val="Calibri"/>
        <family val="2"/>
        <scheme val="minor"/>
      </rPr>
      <t>toneladas de CO</t>
    </r>
    <r>
      <rPr>
        <vertAlign val="subscript"/>
        <sz val="8"/>
        <rFont val="Calibri"/>
        <family val="2"/>
        <scheme val="minor"/>
      </rPr>
      <t>2e</t>
    </r>
    <r>
      <rPr>
        <sz val="8"/>
        <rFont val="Calibri"/>
        <family val="2"/>
        <scheme val="minor"/>
      </rPr>
      <t>/año</t>
    </r>
  </si>
  <si>
    <r>
      <rPr>
        <sz val="8"/>
        <rFont val="Calibri"/>
        <family val="2"/>
        <scheme val="minor"/>
      </rPr>
      <t>Esta es la emisión de CO</t>
    </r>
    <r>
      <rPr>
        <vertAlign val="subscript"/>
        <sz val="8"/>
        <rFont val="Calibri"/>
        <family val="2"/>
        <scheme val="minor"/>
      </rPr>
      <t>2e</t>
    </r>
    <r>
      <rPr>
        <sz val="8"/>
        <rFont val="Calibri"/>
        <family val="2"/>
        <scheme val="minor"/>
      </rPr>
      <t xml:space="preserve"> fósil (evitada) que se evade a través de la utilización de biogás renovable para la generación de energía.</t>
    </r>
  </si>
  <si>
    <r>
      <rPr>
        <sz val="8"/>
        <rFont val="Calibri"/>
        <family val="2"/>
        <scheme val="minor"/>
      </rPr>
      <t>m³/año</t>
    </r>
  </si>
  <si>
    <r>
      <rPr>
        <sz val="8"/>
        <rFont val="Calibri"/>
        <family val="2"/>
        <scheme val="minor"/>
      </rPr>
      <t>m³/año</t>
    </r>
  </si>
  <si>
    <r>
      <rPr>
        <sz val="8"/>
        <rFont val="Calibri"/>
        <family val="2"/>
        <scheme val="minor"/>
      </rPr>
      <t>---</t>
    </r>
  </si>
  <si>
    <r>
      <rPr>
        <sz val="8"/>
        <color theme="1"/>
        <rFont val="Calibri"/>
        <family val="2"/>
        <scheme val="minor"/>
      </rPr>
      <t>Eliminación de las emisiones de GEI provenientes del UASB</t>
    </r>
  </si>
  <si>
    <r>
      <rPr>
        <sz val="8"/>
        <rFont val="Calibri"/>
        <family val="2"/>
        <scheme val="minor"/>
      </rPr>
      <t>toneladas de CO</t>
    </r>
    <r>
      <rPr>
        <vertAlign val="subscript"/>
        <sz val="8"/>
        <rFont val="Calibri"/>
        <family val="2"/>
        <scheme val="minor"/>
      </rPr>
      <t>2e</t>
    </r>
    <r>
      <rPr>
        <sz val="8"/>
        <rFont val="Calibri"/>
        <family val="2"/>
        <scheme val="minor"/>
      </rPr>
      <t>/año</t>
    </r>
  </si>
  <si>
    <r>
      <rPr>
        <sz val="8"/>
        <rFont val="Calibri"/>
        <family val="2"/>
        <scheme val="minor"/>
      </rPr>
      <t>El biogás en cuestión se puede tomar en consideración únicamente si la emisión del mismo ocurrió antes de este proyecto; si el biogás es generado y utilizado por el proyecto, este no se puede considerar como una reducción de emisión.</t>
    </r>
  </si>
  <si>
    <r>
      <rPr>
        <sz val="8"/>
        <color theme="1"/>
        <rFont val="Calibri"/>
        <family val="2"/>
        <scheme val="minor"/>
      </rPr>
      <t>Reducción total de la emisión de GEI</t>
    </r>
  </si>
  <si>
    <r>
      <rPr>
        <b/>
        <sz val="8"/>
        <color rgb="FF0070C0"/>
        <rFont val="Calibri"/>
        <family val="2"/>
        <scheme val="minor"/>
      </rPr>
      <t>toneladas de CO</t>
    </r>
    <r>
      <rPr>
        <b/>
        <vertAlign val="subscript"/>
        <sz val="8"/>
        <color rgb="FF0070C0"/>
        <rFont val="Calibri"/>
        <family val="2"/>
        <scheme val="minor"/>
      </rPr>
      <t>2e</t>
    </r>
    <r>
      <rPr>
        <b/>
        <sz val="8"/>
        <color rgb="FF0070C0"/>
        <rFont val="Calibri"/>
        <family val="2"/>
        <scheme val="minor"/>
      </rPr>
      <t>/año</t>
    </r>
  </si>
  <si>
    <r>
      <rPr>
        <u/>
        <sz val="8"/>
        <color theme="1"/>
        <rFont val="Calibri"/>
        <family val="2"/>
        <scheme val="minor"/>
      </rPr>
      <t>AHORROS DE GASTOS DE FUNCIONAMIENTO</t>
    </r>
  </si>
  <si>
    <r>
      <rPr>
        <sz val="8"/>
        <color theme="1"/>
        <rFont val="Calibri"/>
        <family val="2"/>
        <scheme val="minor"/>
      </rPr>
      <t>Tarifa eléctrica</t>
    </r>
  </si>
  <si>
    <r>
      <rPr>
        <sz val="8"/>
        <rFont val="Calibri"/>
        <family val="2"/>
        <scheme val="minor"/>
      </rPr>
      <t>US$/kWh</t>
    </r>
  </si>
  <si>
    <r>
      <rPr>
        <sz val="8"/>
        <color theme="1"/>
        <rFont val="Calibri"/>
        <family val="2"/>
        <scheme val="minor"/>
      </rPr>
      <t>Reducción del costo de electricidad</t>
    </r>
  </si>
  <si>
    <r>
      <rPr>
        <sz val="8"/>
        <rFont val="Calibri"/>
        <family val="2"/>
        <scheme val="minor"/>
      </rPr>
      <t>US$/d</t>
    </r>
  </si>
  <si>
    <r>
      <rPr>
        <sz val="8"/>
        <rFont val="Calibri"/>
        <family val="2"/>
        <scheme val="minor"/>
      </rPr>
      <t>(El ahorro es equivalente a la producción de electricidad a partir del biogás)</t>
    </r>
  </si>
  <si>
    <r>
      <rPr>
        <b/>
        <sz val="8"/>
        <rFont val="Calibri"/>
        <family val="2"/>
        <scheme val="minor"/>
      </rPr>
      <t>US$/año</t>
    </r>
  </si>
  <si>
    <r>
      <rPr>
        <b/>
        <sz val="8"/>
        <rFont val="Calibri"/>
        <family val="2"/>
        <scheme val="minor"/>
      </rPr>
      <t>US$/año</t>
    </r>
  </si>
  <si>
    <r>
      <rPr>
        <b/>
        <sz val="8"/>
        <color rgb="FF0070C0"/>
        <rFont val="Calibri"/>
        <family val="2"/>
        <scheme val="minor"/>
      </rPr>
      <t>Ahorro total de gastos de funcionamiento</t>
    </r>
  </si>
  <si>
    <r>
      <rPr>
        <b/>
        <sz val="8"/>
        <color rgb="FF0070C0"/>
        <rFont val="Calibri"/>
        <family val="2"/>
        <scheme val="minor"/>
      </rPr>
      <t>US$/año</t>
    </r>
  </si>
  <si>
    <r>
      <rPr>
        <u/>
        <sz val="8"/>
        <color theme="1"/>
        <rFont val="Calibri"/>
        <family val="2"/>
        <scheme val="minor"/>
      </rPr>
      <t>REQUISITOS DE INSTALACIÓN</t>
    </r>
  </si>
  <si>
    <r>
      <rPr>
        <sz val="8"/>
        <color theme="1"/>
        <rFont val="Calibri"/>
        <family val="2"/>
        <scheme val="minor"/>
      </rPr>
      <t>Almacenador de biogás</t>
    </r>
  </si>
  <si>
    <r>
      <rPr>
        <sz val="8"/>
        <rFont val="Calibri"/>
        <family val="2"/>
        <scheme val="minor"/>
      </rPr>
      <t>m³</t>
    </r>
  </si>
  <si>
    <r>
      <rPr>
        <sz val="8"/>
        <rFont val="Calibri"/>
        <family val="2"/>
        <scheme val="minor"/>
      </rPr>
      <t>kW</t>
    </r>
  </si>
  <si>
    <r>
      <rPr>
        <sz val="8"/>
        <rFont val="Calibri"/>
        <family val="2"/>
        <scheme val="minor"/>
      </rPr>
      <t xml:space="preserve">Supuesto: tiempo de operación promedio = 20 h/d </t>
    </r>
  </si>
  <si>
    <r>
      <rPr>
        <sz val="8"/>
        <rFont val="Calibri"/>
        <family val="2"/>
        <scheme val="minor"/>
      </rPr>
      <t>kW / unidad</t>
    </r>
  </si>
  <si>
    <r>
      <rPr>
        <sz val="8"/>
        <rFont val="Calibri"/>
        <family val="2"/>
        <scheme val="minor"/>
      </rPr>
      <t>Basado en 2 unidades</t>
    </r>
  </si>
  <si>
    <r>
      <rPr>
        <sz val="8"/>
        <color theme="1"/>
        <rFont val="Calibri"/>
        <family val="2"/>
        <scheme val="minor"/>
      </rPr>
      <t>Limpieza de biogás</t>
    </r>
  </si>
  <si>
    <r>
      <rPr>
        <sz val="8"/>
        <rFont val="Calibri"/>
        <family val="2"/>
        <scheme val="minor"/>
      </rPr>
      <t>¡Verificar requisitos específicos!</t>
    </r>
  </si>
  <si>
    <r>
      <rPr>
        <sz val="8"/>
        <rFont val="Calibri"/>
        <family val="2"/>
        <scheme val="minor"/>
      </rPr>
      <t>---</t>
    </r>
  </si>
  <si>
    <r>
      <rPr>
        <b/>
        <sz val="9"/>
        <color theme="0"/>
        <rFont val="Calibri"/>
        <family val="2"/>
        <scheme val="minor"/>
      </rPr>
      <t>LAGUNA ANAEROBIA CUBIERTA</t>
    </r>
  </si>
  <si>
    <r>
      <rPr>
        <b/>
        <sz val="9"/>
        <color theme="0"/>
        <rFont val="Calibri"/>
        <family val="2"/>
        <scheme val="minor"/>
      </rPr>
      <t>Valor</t>
    </r>
  </si>
  <si>
    <r>
      <rPr>
        <b/>
        <sz val="9"/>
        <color theme="0"/>
        <rFont val="Calibri"/>
        <family val="2"/>
        <scheme val="minor"/>
      </rPr>
      <t>Unidad</t>
    </r>
  </si>
  <si>
    <r>
      <rPr>
        <b/>
        <sz val="9"/>
        <color theme="0"/>
        <rFont val="Calibri"/>
        <family val="2"/>
        <scheme val="minor"/>
      </rPr>
      <t>Comentario</t>
    </r>
  </si>
  <si>
    <r>
      <rPr>
        <u/>
        <sz val="8"/>
        <color theme="1"/>
        <rFont val="Calibri"/>
        <family val="2"/>
        <scheme val="minor"/>
      </rPr>
      <t>TRATAMIENTO DE AGUAS RESIDUALES</t>
    </r>
  </si>
  <si>
    <r>
      <rPr>
        <sz val="8"/>
        <color theme="1"/>
        <rFont val="Calibri"/>
        <family val="2"/>
        <scheme val="minor"/>
      </rPr>
      <t>Carga promedio del afluente de BOD</t>
    </r>
    <r>
      <rPr>
        <vertAlign val="subscript"/>
        <sz val="8"/>
        <color theme="1"/>
        <rFont val="Calibri"/>
        <family val="2"/>
        <scheme val="minor"/>
      </rPr>
      <t>5</t>
    </r>
    <r>
      <rPr>
        <sz val="8"/>
        <color theme="1"/>
        <rFont val="Calibri"/>
        <family val="2"/>
        <scheme val="minor"/>
      </rPr>
      <t xml:space="preserve"> </t>
    </r>
  </si>
  <si>
    <r>
      <rPr>
        <sz val="8"/>
        <rFont val="Calibri"/>
        <family val="2"/>
        <scheme val="minor"/>
      </rPr>
      <t>kg/d</t>
    </r>
  </si>
  <si>
    <r>
      <rPr>
        <sz val="8"/>
        <color theme="1"/>
        <rFont val="Calibri"/>
        <family val="2"/>
        <scheme val="minor"/>
      </rPr>
      <t>Carga promedio del afluente de TSS</t>
    </r>
  </si>
  <si>
    <r>
      <rPr>
        <sz val="8"/>
        <rFont val="Calibri"/>
        <family val="2"/>
        <scheme val="minor"/>
      </rPr>
      <t>kg/d</t>
    </r>
  </si>
  <si>
    <r>
      <rPr>
        <u/>
        <sz val="8"/>
        <color theme="1"/>
        <rFont val="Calibri"/>
        <family val="2"/>
        <scheme val="minor"/>
      </rPr>
      <t>PRODUCCIÓN DE LODOS</t>
    </r>
  </si>
  <si>
    <r>
      <rPr>
        <b/>
        <sz val="8"/>
        <color theme="1"/>
        <rFont val="Calibri"/>
        <family val="2"/>
      </rPr>
      <t>▪ Lodo secundario</t>
    </r>
  </si>
  <si>
    <r>
      <rPr>
        <sz val="8"/>
        <rFont val="Calibri"/>
        <family val="2"/>
        <scheme val="minor"/>
      </rPr>
      <t>kgDS/d</t>
    </r>
  </si>
  <si>
    <r>
      <rPr>
        <sz val="8"/>
        <rFont val="Calibri"/>
        <family val="2"/>
        <scheme val="minor"/>
      </rPr>
      <t>%DS</t>
    </r>
  </si>
  <si>
    <r>
      <rPr>
        <sz val="8"/>
        <rFont val="Calibri"/>
        <family val="2"/>
        <scheme val="minor"/>
      </rPr>
      <t>%VS</t>
    </r>
  </si>
  <si>
    <r>
      <rPr>
        <sz val="8"/>
        <rFont val="Calibri"/>
        <family val="2"/>
        <scheme val="minor"/>
      </rPr>
      <t>m³/d</t>
    </r>
  </si>
  <si>
    <r>
      <rPr>
        <u/>
        <sz val="8"/>
        <color theme="1"/>
        <rFont val="Calibri"/>
        <family val="2"/>
        <scheme val="minor"/>
      </rPr>
      <t>ELIMINACIÓN / REUTILIZACIÓN DE LODOS</t>
    </r>
  </si>
  <si>
    <r>
      <rPr>
        <sz val="8"/>
        <rFont val="Calibri"/>
        <family val="2"/>
        <scheme val="minor"/>
      </rPr>
      <t>%DS</t>
    </r>
  </si>
  <si>
    <r>
      <rPr>
        <sz val="8"/>
        <color theme="1"/>
        <rFont val="Calibri"/>
        <family val="2"/>
        <scheme val="minor"/>
      </rPr>
      <t>Producción promedio total de DS</t>
    </r>
  </si>
  <si>
    <r>
      <rPr>
        <sz val="8"/>
        <rFont val="Calibri"/>
        <family val="2"/>
        <scheme val="minor"/>
      </rPr>
      <t>kgDS/d</t>
    </r>
  </si>
  <si>
    <r>
      <rPr>
        <sz val="8"/>
        <color theme="1"/>
        <rFont val="Calibri"/>
        <family val="2"/>
        <scheme val="minor"/>
      </rPr>
      <t>Producción total de DS específico</t>
    </r>
  </si>
  <si>
    <r>
      <rPr>
        <sz val="8"/>
        <rFont val="Calibri"/>
        <family val="2"/>
        <scheme val="minor"/>
      </rPr>
      <t>gDS/PE</t>
    </r>
    <r>
      <rPr>
        <vertAlign val="subscript"/>
        <sz val="8"/>
        <rFont val="Calibri"/>
        <family val="2"/>
        <scheme val="minor"/>
      </rPr>
      <t>60</t>
    </r>
    <r>
      <rPr>
        <sz val="8"/>
        <rFont val="Calibri"/>
        <family val="2"/>
        <scheme val="minor"/>
      </rPr>
      <t>/d</t>
    </r>
  </si>
  <si>
    <r>
      <rPr>
        <sz val="8"/>
        <rFont val="Calibri"/>
        <family val="2"/>
        <scheme val="minor"/>
      </rPr>
      <t>gDS/cap/d</t>
    </r>
  </si>
  <si>
    <r>
      <rPr>
        <sz val="8"/>
        <rFont val="Calibri"/>
        <family val="2"/>
        <scheme val="minor"/>
      </rPr>
      <t>m³/d</t>
    </r>
  </si>
  <si>
    <r>
      <rPr>
        <sz val="8"/>
        <rFont val="Calibri"/>
        <family val="2"/>
        <scheme val="minor"/>
      </rPr>
      <t>m³/año</t>
    </r>
  </si>
  <si>
    <r>
      <rPr>
        <u/>
        <sz val="8"/>
        <color theme="1"/>
        <rFont val="Calibri"/>
        <family val="2"/>
        <scheme val="minor"/>
      </rPr>
      <t>PRODUCCIÓN DE BIOGÁS</t>
    </r>
  </si>
  <si>
    <r>
      <rPr>
        <b/>
        <sz val="8"/>
        <color theme="1"/>
        <rFont val="Calibri"/>
        <family val="2"/>
      </rPr>
      <t>▪ Rendimiento de biogás</t>
    </r>
  </si>
  <si>
    <r>
      <rPr>
        <sz val="8"/>
        <rFont val="Calibri"/>
        <family val="2"/>
        <scheme val="minor"/>
      </rPr>
      <t>L/kgBOD</t>
    </r>
    <r>
      <rPr>
        <vertAlign val="subscript"/>
        <sz val="8"/>
        <rFont val="Calibri"/>
        <family val="2"/>
        <scheme val="minor"/>
      </rPr>
      <t>5,added</t>
    </r>
    <r>
      <rPr>
        <sz val="8"/>
        <rFont val="Calibri"/>
        <family val="2"/>
        <scheme val="minor"/>
      </rPr>
      <t>/d</t>
    </r>
  </si>
  <si>
    <r>
      <rPr>
        <b/>
        <sz val="8"/>
        <color theme="1"/>
        <rFont val="Calibri"/>
        <family val="2"/>
      </rPr>
      <t>▪ Producción de biogás</t>
    </r>
  </si>
  <si>
    <r>
      <rPr>
        <sz val="8"/>
        <rFont val="Calibri"/>
        <family val="2"/>
        <scheme val="minor"/>
      </rPr>
      <t>m³/d</t>
    </r>
  </si>
  <si>
    <r>
      <rPr>
        <sz val="8"/>
        <color theme="1"/>
        <rFont val="Calibri"/>
        <family val="2"/>
        <scheme val="minor"/>
      </rPr>
      <t>Producción de biogás</t>
    </r>
  </si>
  <si>
    <r>
      <rPr>
        <sz val="8"/>
        <rFont val="Calibri"/>
        <family val="2"/>
        <scheme val="minor"/>
      </rPr>
      <t>m³/d</t>
    </r>
  </si>
  <si>
    <r>
      <rPr>
        <sz val="8"/>
        <rFont val="Calibri"/>
        <family val="2"/>
        <scheme val="minor"/>
      </rPr>
      <t>m³/año</t>
    </r>
  </si>
  <si>
    <r>
      <rPr>
        <sz val="8"/>
        <color theme="1"/>
        <rFont val="Calibri"/>
        <family val="2"/>
        <scheme val="minor"/>
      </rPr>
      <t>Producción total de biogás específico</t>
    </r>
  </si>
  <si>
    <r>
      <rPr>
        <sz val="8"/>
        <rFont val="Calibri"/>
        <family val="2"/>
        <scheme val="minor"/>
      </rPr>
      <t>L/PE</t>
    </r>
    <r>
      <rPr>
        <vertAlign val="subscript"/>
        <sz val="8"/>
        <rFont val="Calibri"/>
        <family val="2"/>
        <scheme val="minor"/>
      </rPr>
      <t>60</t>
    </r>
    <r>
      <rPr>
        <sz val="8"/>
        <rFont val="Calibri"/>
        <family val="2"/>
        <scheme val="minor"/>
      </rPr>
      <t>/d</t>
    </r>
  </si>
  <si>
    <r>
      <rPr>
        <sz val="8"/>
        <rFont val="Calibri"/>
        <family val="2"/>
        <scheme val="minor"/>
      </rPr>
      <t>L/cap/d</t>
    </r>
  </si>
  <si>
    <r>
      <rPr>
        <b/>
        <sz val="8"/>
        <color theme="1"/>
        <rFont val="Calibri"/>
        <family val="2"/>
      </rPr>
      <t>▪ Contenido de metano del biogás</t>
    </r>
  </si>
  <si>
    <r>
      <rPr>
        <sz val="8"/>
        <rFont val="Calibri"/>
        <family val="2"/>
        <scheme val="minor"/>
      </rPr>
      <t>% CH</t>
    </r>
    <r>
      <rPr>
        <vertAlign val="subscript"/>
        <sz val="8"/>
        <rFont val="Calibri"/>
        <family val="2"/>
        <scheme val="minor"/>
      </rPr>
      <t>4</t>
    </r>
  </si>
  <si>
    <r>
      <rPr>
        <u/>
        <sz val="8"/>
        <color theme="1"/>
        <rFont val="Calibri"/>
        <family val="2"/>
        <scheme val="minor"/>
      </rPr>
      <t>ENERGÍA A PARTIR DE BIOGÁS</t>
    </r>
  </si>
  <si>
    <r>
      <rPr>
        <sz val="8"/>
        <color theme="1"/>
        <rFont val="Calibri"/>
        <family val="2"/>
        <scheme val="minor"/>
      </rPr>
      <t>Valor calorífico del biogás</t>
    </r>
  </si>
  <si>
    <r>
      <rPr>
        <sz val="8"/>
        <rFont val="Calibri"/>
        <family val="2"/>
        <scheme val="minor"/>
      </rPr>
      <t>kWh/m</t>
    </r>
    <r>
      <rPr>
        <vertAlign val="superscript"/>
        <sz val="8"/>
        <rFont val="Calibri"/>
        <family val="2"/>
        <scheme val="minor"/>
      </rPr>
      <t>3</t>
    </r>
  </si>
  <si>
    <r>
      <rPr>
        <b/>
        <sz val="8"/>
        <color theme="1"/>
        <rFont val="Calibri"/>
        <family val="2"/>
      </rPr>
      <t>▪ Electricidad</t>
    </r>
  </si>
  <si>
    <r>
      <rPr>
        <sz val="8"/>
        <color theme="1"/>
        <rFont val="Calibri"/>
        <family val="2"/>
        <scheme val="minor"/>
      </rPr>
      <t>CHP: Eficiencia de la generación de energía eléctrica</t>
    </r>
  </si>
  <si>
    <r>
      <rPr>
        <sz val="8"/>
        <rFont val="Calibri"/>
        <family val="2"/>
        <scheme val="minor"/>
      </rPr>
      <t>%</t>
    </r>
  </si>
  <si>
    <r>
      <rPr>
        <sz val="8"/>
        <color theme="1"/>
        <rFont val="Calibri"/>
        <family val="2"/>
        <scheme val="minor"/>
      </rPr>
      <t>Generación de electricidad a partir de biogás</t>
    </r>
  </si>
  <si>
    <r>
      <rPr>
        <sz val="8"/>
        <rFont val="Calibri"/>
        <family val="2"/>
        <scheme val="minor"/>
      </rPr>
      <t>kWh/d</t>
    </r>
  </si>
  <si>
    <r>
      <rPr>
        <sz val="8"/>
        <rFont val="Calibri"/>
        <family val="2"/>
        <scheme val="minor"/>
      </rPr>
      <t>kWh/PE</t>
    </r>
    <r>
      <rPr>
        <vertAlign val="subscript"/>
        <sz val="8"/>
        <rFont val="Calibri"/>
        <family val="2"/>
        <scheme val="minor"/>
      </rPr>
      <t>60</t>
    </r>
    <r>
      <rPr>
        <sz val="8"/>
        <rFont val="Calibri"/>
        <family val="2"/>
        <scheme val="minor"/>
      </rPr>
      <t>/año</t>
    </r>
  </si>
  <si>
    <r>
      <rPr>
        <sz val="8"/>
        <rFont val="Calibri"/>
        <family val="2"/>
        <scheme val="minor"/>
      </rPr>
      <t>kWh/año</t>
    </r>
  </si>
  <si>
    <r>
      <rPr>
        <sz val="8"/>
        <rFont val="Calibri"/>
        <family val="2"/>
        <scheme val="minor"/>
      </rPr>
      <t>kWh/PE</t>
    </r>
    <r>
      <rPr>
        <vertAlign val="subscript"/>
        <sz val="8"/>
        <rFont val="Calibri"/>
        <family val="2"/>
        <scheme val="minor"/>
      </rPr>
      <t>60</t>
    </r>
    <r>
      <rPr>
        <sz val="8"/>
        <rFont val="Calibri"/>
        <family val="2"/>
        <scheme val="minor"/>
      </rPr>
      <t>/año</t>
    </r>
  </si>
  <si>
    <r>
      <rPr>
        <sz val="8"/>
        <rFont val="Calibri"/>
        <family val="2"/>
        <scheme val="minor"/>
      </rPr>
      <t>kWh/d</t>
    </r>
  </si>
  <si>
    <r>
      <rPr>
        <sz val="8"/>
        <rFont val="Calibri"/>
        <family val="2"/>
        <scheme val="minor"/>
      </rPr>
      <t>kWh/año</t>
    </r>
  </si>
  <si>
    <r>
      <rPr>
        <sz val="8"/>
        <color theme="1"/>
        <rFont val="Calibri"/>
        <family val="2"/>
        <scheme val="minor"/>
      </rPr>
      <t>Cobertura de electricidad de la planta de tratamiento (WWTP) a partir del biogás</t>
    </r>
  </si>
  <si>
    <r>
      <rPr>
        <sz val="8"/>
        <rFont val="Calibri"/>
        <family val="2"/>
        <scheme val="minor"/>
      </rPr>
      <t>% de consumo</t>
    </r>
  </si>
  <si>
    <r>
      <rPr>
        <b/>
        <sz val="8"/>
        <color theme="1"/>
        <rFont val="Calibri"/>
        <family val="2"/>
      </rPr>
      <t>▪ Energía térmica</t>
    </r>
  </si>
  <si>
    <r>
      <rPr>
        <sz val="8"/>
        <color theme="1"/>
        <rFont val="Calibri"/>
        <family val="2"/>
        <scheme val="minor"/>
      </rPr>
      <t>CHP: Eficiencia de la generación de energía térmica</t>
    </r>
  </si>
  <si>
    <r>
      <rPr>
        <sz val="8"/>
        <rFont val="Calibri"/>
        <family val="2"/>
        <scheme val="minor"/>
      </rPr>
      <t>%</t>
    </r>
  </si>
  <si>
    <r>
      <rPr>
        <sz val="8"/>
        <color theme="1"/>
        <rFont val="Calibri"/>
        <family val="2"/>
        <scheme val="minor"/>
      </rPr>
      <t>Generación de energía térmica</t>
    </r>
  </si>
  <si>
    <r>
      <rPr>
        <sz val="8"/>
        <rFont val="Calibri"/>
        <family val="2"/>
        <scheme val="minor"/>
      </rPr>
      <t>kWh/d</t>
    </r>
  </si>
  <si>
    <r>
      <rPr>
        <sz val="8"/>
        <rFont val="Calibri"/>
        <family val="2"/>
        <scheme val="minor"/>
      </rPr>
      <t>kWh/año</t>
    </r>
  </si>
  <si>
    <r>
      <rPr>
        <u/>
        <sz val="8"/>
        <color theme="1"/>
        <rFont val="Calibri"/>
        <family val="2"/>
        <scheme val="minor"/>
      </rPr>
      <t>REDUCCIÓN DE LAS EMISIONES DE GAS DE EFECTO INVERNADERO (GEI)</t>
    </r>
  </si>
  <si>
    <r>
      <rPr>
        <sz val="8"/>
        <color theme="1"/>
        <rFont val="Calibri"/>
        <family val="2"/>
        <scheme val="minor"/>
      </rPr>
      <t>Emisiones de GEI locales a partir de la generación de electricidad</t>
    </r>
  </si>
  <si>
    <r>
      <rPr>
        <sz val="8"/>
        <rFont val="Calibri"/>
        <family val="2"/>
        <scheme val="minor"/>
      </rPr>
      <t>g CO</t>
    </r>
    <r>
      <rPr>
        <vertAlign val="subscript"/>
        <sz val="8"/>
        <rFont val="Calibri"/>
        <family val="2"/>
        <scheme val="minor"/>
      </rPr>
      <t>2</t>
    </r>
    <r>
      <rPr>
        <sz val="8"/>
        <rFont val="Calibri"/>
        <family val="2"/>
        <scheme val="minor"/>
      </rPr>
      <t>/kWh</t>
    </r>
  </si>
  <si>
    <r>
      <rPr>
        <sz val="8"/>
        <color theme="1"/>
        <rFont val="Calibri"/>
        <family val="2"/>
        <scheme val="minor"/>
      </rPr>
      <t>Producción de electricidad a partir de biogás renovable</t>
    </r>
  </si>
  <si>
    <r>
      <rPr>
        <sz val="8"/>
        <rFont val="Calibri"/>
        <family val="2"/>
        <scheme val="minor"/>
      </rPr>
      <t>kWh/año</t>
    </r>
  </si>
  <si>
    <r>
      <rPr>
        <sz val="8"/>
        <color theme="1"/>
        <rFont val="Calibri"/>
        <family val="2"/>
        <scheme val="minor"/>
      </rPr>
      <t>Reducción de las emisiones de GEI por medio de electricidad a partir de biogás</t>
    </r>
  </si>
  <si>
    <r>
      <rPr>
        <sz val="8"/>
        <rFont val="Calibri"/>
        <family val="2"/>
        <scheme val="minor"/>
      </rPr>
      <t>toneladas de CO</t>
    </r>
    <r>
      <rPr>
        <vertAlign val="subscript"/>
        <sz val="8"/>
        <rFont val="Calibri"/>
        <family val="2"/>
        <scheme val="minor"/>
      </rPr>
      <t>2e</t>
    </r>
    <r>
      <rPr>
        <sz val="8"/>
        <rFont val="Calibri"/>
        <family val="2"/>
        <scheme val="minor"/>
      </rPr>
      <t>/año</t>
    </r>
  </si>
  <si>
    <r>
      <rPr>
        <sz val="8"/>
        <rFont val="Calibri"/>
        <family val="2"/>
        <scheme val="minor"/>
      </rPr>
      <t>Esta es la emisión de CO</t>
    </r>
    <r>
      <rPr>
        <vertAlign val="subscript"/>
        <sz val="8"/>
        <rFont val="Calibri"/>
        <family val="2"/>
        <scheme val="minor"/>
      </rPr>
      <t>2e</t>
    </r>
    <r>
      <rPr>
        <sz val="8"/>
        <rFont val="Calibri"/>
        <family val="2"/>
        <scheme val="minor"/>
      </rPr>
      <t xml:space="preserve"> fósil (evitada) que se evade a través de la utilización de biogás renovable para la generación de energía.</t>
    </r>
  </si>
  <si>
    <r>
      <rPr>
        <sz val="8"/>
        <color theme="1"/>
        <rFont val="Calibri"/>
        <family val="2"/>
        <scheme val="minor"/>
      </rPr>
      <t>Emisión de biogás previo a este proyecto de WWTP</t>
    </r>
  </si>
  <si>
    <r>
      <rPr>
        <sz val="8"/>
        <rFont val="Calibri"/>
        <family val="2"/>
        <scheme val="minor"/>
      </rPr>
      <t>m³/año</t>
    </r>
  </si>
  <si>
    <r>
      <rPr>
        <sz val="8"/>
        <color theme="1"/>
        <rFont val="Calibri"/>
        <family val="2"/>
        <scheme val="minor"/>
      </rPr>
      <t>Emisión de metano previo a este proyecto de WWTP</t>
    </r>
  </si>
  <si>
    <r>
      <rPr>
        <sz val="8"/>
        <rFont val="Calibri"/>
        <family val="2"/>
        <scheme val="minor"/>
      </rPr>
      <t>m³/año</t>
    </r>
  </si>
  <si>
    <r>
      <rPr>
        <sz val="8"/>
        <color theme="1"/>
        <rFont val="Calibri"/>
        <family val="2"/>
        <scheme val="minor"/>
      </rPr>
      <t>Factor de emisión del GEI para el metano</t>
    </r>
  </si>
  <si>
    <r>
      <rPr>
        <sz val="8"/>
        <rFont val="Calibri"/>
        <family val="2"/>
        <scheme val="minor"/>
      </rPr>
      <t>---</t>
    </r>
  </si>
  <si>
    <r>
      <rPr>
        <sz val="8"/>
        <color theme="1"/>
        <rFont val="Calibri"/>
        <family val="2"/>
        <scheme val="minor"/>
      </rPr>
      <t>Peso específico del metano</t>
    </r>
  </si>
  <si>
    <r>
      <rPr>
        <sz val="8"/>
        <rFont val="Calibri"/>
        <family val="2"/>
        <scheme val="minor"/>
      </rPr>
      <t>kg/m</t>
    </r>
    <r>
      <rPr>
        <vertAlign val="superscript"/>
        <sz val="8"/>
        <rFont val="Calibri"/>
        <family val="2"/>
        <scheme val="minor"/>
      </rPr>
      <t>3</t>
    </r>
    <r>
      <rPr>
        <sz val="8"/>
        <rFont val="Calibri"/>
        <family val="2"/>
        <scheme val="minor"/>
      </rPr>
      <t xml:space="preserve"> metano</t>
    </r>
  </si>
  <si>
    <r>
      <rPr>
        <sz val="8"/>
        <rFont val="Calibri"/>
        <family val="2"/>
        <scheme val="minor"/>
      </rPr>
      <t>toneladas de CO</t>
    </r>
    <r>
      <rPr>
        <vertAlign val="subscript"/>
        <sz val="8"/>
        <rFont val="Calibri"/>
        <family val="2"/>
        <scheme val="minor"/>
      </rPr>
      <t>2e</t>
    </r>
    <r>
      <rPr>
        <sz val="8"/>
        <rFont val="Calibri"/>
        <family val="2"/>
        <scheme val="minor"/>
      </rPr>
      <t>/año</t>
    </r>
  </si>
  <si>
    <r>
      <rPr>
        <sz val="8"/>
        <rFont val="Calibri"/>
        <family val="2"/>
        <scheme val="minor"/>
      </rPr>
      <t>El biogás en cuestión se puede tomar en consideración únicamente si la emisión del mismo ocurrió antes de este proyecto; si el biogás es generado y utilizado por el proyecto, este no se puede considerar como una reducción de emisión.</t>
    </r>
  </si>
  <si>
    <r>
      <rPr>
        <sz val="8"/>
        <color theme="1"/>
        <rFont val="Calibri"/>
        <family val="2"/>
        <scheme val="minor"/>
      </rPr>
      <t>Reducción total de la emisión de GEI</t>
    </r>
  </si>
  <si>
    <r>
      <rPr>
        <b/>
        <sz val="8"/>
        <color rgb="FF0070C0"/>
        <rFont val="Calibri"/>
        <family val="2"/>
        <scheme val="minor"/>
      </rPr>
      <t>toneladas de CO</t>
    </r>
    <r>
      <rPr>
        <b/>
        <vertAlign val="subscript"/>
        <sz val="8"/>
        <color rgb="FF0070C0"/>
        <rFont val="Calibri"/>
        <family val="2"/>
        <scheme val="minor"/>
      </rPr>
      <t>2e</t>
    </r>
    <r>
      <rPr>
        <b/>
        <sz val="8"/>
        <color rgb="FF0070C0"/>
        <rFont val="Calibri"/>
        <family val="2"/>
        <scheme val="minor"/>
      </rPr>
      <t>/año</t>
    </r>
  </si>
  <si>
    <r>
      <rPr>
        <u/>
        <sz val="8"/>
        <color theme="1"/>
        <rFont val="Calibri"/>
        <family val="2"/>
        <scheme val="minor"/>
      </rPr>
      <t>AHORROS DE GASTOS DE FUNCIONAMIENTO</t>
    </r>
  </si>
  <si>
    <r>
      <rPr>
        <sz val="8"/>
        <color theme="1"/>
        <rFont val="Calibri"/>
        <family val="2"/>
        <scheme val="minor"/>
      </rPr>
      <t>Tarifa eléctrica</t>
    </r>
  </si>
  <si>
    <r>
      <rPr>
        <sz val="8"/>
        <rFont val="Calibri"/>
        <family val="2"/>
        <scheme val="minor"/>
      </rPr>
      <t>US$/kWh</t>
    </r>
  </si>
  <si>
    <r>
      <rPr>
        <sz val="8"/>
        <color theme="1"/>
        <rFont val="Calibri"/>
        <family val="2"/>
        <scheme val="minor"/>
      </rPr>
      <t>Reducción del costo de electricidad</t>
    </r>
  </si>
  <si>
    <r>
      <rPr>
        <sz val="8"/>
        <rFont val="Calibri"/>
        <family val="2"/>
        <scheme val="minor"/>
      </rPr>
      <t>US$/d</t>
    </r>
  </si>
  <si>
    <r>
      <rPr>
        <sz val="8"/>
        <rFont val="Calibri"/>
        <family val="2"/>
        <scheme val="minor"/>
      </rPr>
      <t>(El ahorro es equivalente a la producción de electricidad a partir del biogás)</t>
    </r>
  </si>
  <si>
    <r>
      <rPr>
        <b/>
        <sz val="8"/>
        <rFont val="Calibri"/>
        <family val="2"/>
        <scheme val="minor"/>
      </rPr>
      <t>US$/año</t>
    </r>
  </si>
  <si>
    <r>
      <rPr>
        <b/>
        <sz val="8"/>
        <rFont val="Calibri"/>
        <family val="2"/>
        <scheme val="minor"/>
      </rPr>
      <t>US$/año</t>
    </r>
  </si>
  <si>
    <r>
      <rPr>
        <sz val="8"/>
        <rFont val="Calibri"/>
        <family val="2"/>
        <scheme val="minor"/>
      </rPr>
      <t>(El valor, el cual se calcula aquí, se basa en el costo adicional de mantenimiento para el CHP por kWh producido = 12.321 x kWelectr</t>
    </r>
    <r>
      <rPr>
        <vertAlign val="superscript"/>
        <sz val="8"/>
        <rFont val="Calibri"/>
        <family val="2"/>
        <scheme val="minor"/>
      </rPr>
      <t>(-0.422)</t>
    </r>
    <r>
      <rPr>
        <sz val="8"/>
        <rFont val="Calibri"/>
        <family val="2"/>
        <scheme val="minor"/>
      </rPr>
      <t>). Depende del tamaño del CHP, esto implica gastos de funcionamiento (OPEX) de 0.5-4.0 centavos/kWh</t>
    </r>
    <r>
      <rPr>
        <vertAlign val="subscript"/>
        <sz val="8"/>
        <rFont val="Calibri"/>
        <family val="2"/>
        <scheme val="minor"/>
      </rPr>
      <t>electr</t>
    </r>
  </si>
  <si>
    <r>
      <rPr>
        <b/>
        <sz val="8"/>
        <rFont val="Calibri"/>
        <family val="2"/>
        <scheme val="minor"/>
      </rPr>
      <t>US$/año</t>
    </r>
  </si>
  <si>
    <r>
      <rPr>
        <b/>
        <sz val="8"/>
        <color rgb="FF0070C0"/>
        <rFont val="Calibri"/>
        <family val="2"/>
        <scheme val="minor"/>
      </rPr>
      <t>Ahorro total de gastos de funcionamiento</t>
    </r>
  </si>
  <si>
    <r>
      <rPr>
        <b/>
        <sz val="8"/>
        <color rgb="FF0070C0"/>
        <rFont val="Calibri"/>
        <family val="2"/>
        <scheme val="minor"/>
      </rPr>
      <t>US$/año</t>
    </r>
  </si>
  <si>
    <r>
      <rPr>
        <u/>
        <sz val="8"/>
        <color theme="1"/>
        <rFont val="Calibri"/>
        <family val="2"/>
        <scheme val="minor"/>
      </rPr>
      <t>REQUISITOS DE INSTALACIÓN</t>
    </r>
  </si>
  <si>
    <r>
      <rPr>
        <sz val="8"/>
        <rFont val="Calibri"/>
        <family val="2"/>
        <scheme val="minor"/>
      </rPr>
      <t>kW</t>
    </r>
  </si>
  <si>
    <r>
      <rPr>
        <sz val="8"/>
        <rFont val="Calibri"/>
        <family val="2"/>
        <scheme val="minor"/>
      </rPr>
      <t xml:space="preserve">Supuesto: tiempo de operación promedio = 20 h/d </t>
    </r>
  </si>
  <si>
    <r>
      <rPr>
        <sz val="8"/>
        <rFont val="Calibri"/>
        <family val="2"/>
        <scheme val="minor"/>
      </rPr>
      <t>kW / unidad</t>
    </r>
  </si>
  <si>
    <r>
      <rPr>
        <sz val="8"/>
        <rFont val="Calibri"/>
        <family val="2"/>
        <scheme val="minor"/>
      </rPr>
      <t>Basado en 2 unidades</t>
    </r>
  </si>
  <si>
    <r>
      <rPr>
        <sz val="8"/>
        <color theme="1"/>
        <rFont val="Calibri"/>
        <family val="2"/>
        <scheme val="minor"/>
      </rPr>
      <t>Limpieza de biogás</t>
    </r>
  </si>
  <si>
    <r>
      <rPr>
        <sz val="8"/>
        <rFont val="Calibri"/>
        <family val="2"/>
        <scheme val="minor"/>
      </rPr>
      <t>¡Verificar requisitos específicos!</t>
    </r>
  </si>
  <si>
    <r>
      <rPr>
        <sz val="8"/>
        <rFont val="Calibri"/>
        <family val="2"/>
        <scheme val="minor"/>
      </rPr>
      <t>---</t>
    </r>
  </si>
  <si>
    <r>
      <rPr>
        <sz val="8"/>
        <color theme="1"/>
        <rFont val="Calibri"/>
        <family val="2"/>
        <scheme val="minor"/>
      </rPr>
      <t>Sistema de tuberías de biogás, brote, etc.</t>
    </r>
  </si>
  <si>
    <r>
      <rPr>
        <sz val="8"/>
        <rFont val="Calibri"/>
        <family val="2"/>
        <scheme val="minor"/>
      </rPr>
      <t>¡Verificar requisitos específicos!</t>
    </r>
  </si>
  <si>
    <r>
      <rPr>
        <sz val="8"/>
        <rFont val="Calibri"/>
        <family val="2"/>
        <scheme val="minor"/>
      </rPr>
      <t>---</t>
    </r>
  </si>
  <si>
    <t>VS promedio de la destrucción de materia prima orgánica</t>
  </si>
  <si>
    <t>Reducción del costo de aireación en el tanque de aireación</t>
  </si>
  <si>
    <t>Metano presente en el biogás a partir de materia
prima orgánica</t>
  </si>
  <si>
    <t>Rendimiento de biogás a partir del afluente de 
la carga de contaminación</t>
  </si>
  <si>
    <t>Rendimiento de metano a partir del afluente de la carga 
de contaminación</t>
  </si>
  <si>
    <t>Rendimiento de biogás a partir del afluente de la carga 
de contaminación</t>
  </si>
  <si>
    <t xml:space="preserve">BioWATT  (Herramienta de evaluación tecnológica de la producción de </t>
  </si>
  <si>
    <t xml:space="preserve">BioWATT  (Herramienta de evaluación tecnológica de producción de </t>
  </si>
  <si>
    <t xml:space="preserve">biogás a partir de aguas residuales) </t>
  </si>
  <si>
    <t>Costo de operación y mantenimiento adicional</t>
  </si>
  <si>
    <t>Potencia total de energía eléctrica (CHP)</t>
  </si>
  <si>
    <t>Capita equivalentes locales</t>
  </si>
  <si>
    <t>Habitantes equivalentes 60</t>
  </si>
  <si>
    <r>
      <t>Producción de PS diaria, lodo espesado (m</t>
    </r>
    <r>
      <rPr>
        <vertAlign val="superscript"/>
        <sz val="8"/>
        <color theme="1"/>
        <rFont val="Calibri"/>
        <family val="2"/>
        <scheme val="minor"/>
      </rPr>
      <t>3</t>
    </r>
    <r>
      <rPr>
        <sz val="8"/>
        <color theme="1"/>
        <rFont val="Calibri"/>
        <family val="2"/>
        <scheme val="minor"/>
      </rPr>
      <t>)</t>
    </r>
  </si>
  <si>
    <r>
      <t>Producción de WAS diaria, lodo espesado (m</t>
    </r>
    <r>
      <rPr>
        <vertAlign val="superscript"/>
        <sz val="8"/>
        <color theme="1"/>
        <rFont val="Calibri"/>
        <family val="2"/>
        <scheme val="minor"/>
      </rPr>
      <t>3</t>
    </r>
    <r>
      <rPr>
        <sz val="8"/>
        <color theme="1"/>
        <rFont val="Calibri"/>
        <family val="2"/>
        <scheme val="minor"/>
      </rPr>
      <t>)</t>
    </r>
  </si>
  <si>
    <t>Tiempo de retención en el digestor</t>
  </si>
  <si>
    <r>
      <t>kgVS</t>
    </r>
    <r>
      <rPr>
        <vertAlign val="subscript"/>
        <sz val="8"/>
        <rFont val="Calibri"/>
        <family val="2"/>
        <scheme val="minor"/>
      </rPr>
      <t>destruido</t>
    </r>
    <r>
      <rPr>
        <sz val="8"/>
        <rFont val="Calibri"/>
        <family val="2"/>
        <scheme val="minor"/>
      </rPr>
      <t>/d</t>
    </r>
  </si>
  <si>
    <t>DS después de la deshidratación de lodo</t>
  </si>
  <si>
    <t>Promedio total de producción de lodos deshidratados</t>
  </si>
  <si>
    <t>US$/personal/año</t>
  </si>
  <si>
    <t>Costo por año de mano de obra adicional</t>
  </si>
  <si>
    <r>
      <t>Producción de TFS diaria, lodo espesado (m</t>
    </r>
    <r>
      <rPr>
        <vertAlign val="superscript"/>
        <sz val="8"/>
        <color theme="1"/>
        <rFont val="Calibri"/>
        <family val="2"/>
        <scheme val="minor"/>
      </rPr>
      <t>3</t>
    </r>
    <r>
      <rPr>
        <sz val="8"/>
        <color theme="1"/>
        <rFont val="Calibri"/>
        <family val="2"/>
        <scheme val="minor"/>
      </rPr>
      <t>)</t>
    </r>
  </si>
  <si>
    <r>
      <t>Producción diaria del lodo UASB-S, espesado (m</t>
    </r>
    <r>
      <rPr>
        <vertAlign val="superscript"/>
        <sz val="8"/>
        <color theme="1"/>
        <rFont val="Calibri"/>
        <family val="2"/>
        <scheme val="minor"/>
      </rPr>
      <t>3</t>
    </r>
    <r>
      <rPr>
        <sz val="8"/>
        <color theme="1"/>
        <rFont val="Calibri"/>
        <family val="2"/>
        <scheme val="minor"/>
      </rPr>
      <t>)</t>
    </r>
  </si>
  <si>
    <t>Costo de operación y mantenimiento adicional para CHP</t>
  </si>
  <si>
    <r>
      <t>Producción diaria del lodo AP-S, espesado (m</t>
    </r>
    <r>
      <rPr>
        <vertAlign val="superscript"/>
        <sz val="8"/>
        <color theme="1"/>
        <rFont val="Calibri"/>
        <family val="2"/>
        <scheme val="minor"/>
      </rPr>
      <t>3</t>
    </r>
    <r>
      <rPr>
        <sz val="8"/>
        <color theme="1"/>
        <rFont val="Calibri"/>
        <family val="2"/>
        <scheme val="minor"/>
      </rPr>
      <t>)</t>
    </r>
  </si>
  <si>
    <t>DS después de la deshidratación de lodos</t>
  </si>
  <si>
    <t>Costo de operación y mantenimiento adicional para las cubiertas</t>
  </si>
  <si>
    <r>
      <t>(El valor que aquí se calcula se basa en los supuestos siguientes: (i) el área cubierta se deriva del tiempo de retención en AP = 2 d, profundidad del agua = 5 m, (ii) costo unitario de la cubierta = 15 US$/m</t>
    </r>
    <r>
      <rPr>
        <vertAlign val="superscript"/>
        <sz val="8"/>
        <rFont val="Calibri"/>
        <family val="2"/>
        <scheme val="minor"/>
      </rPr>
      <t>2</t>
    </r>
    <r>
      <rPr>
        <sz val="8"/>
        <rFont val="Calibri"/>
        <family val="2"/>
        <scheme val="minor"/>
      </rPr>
      <t>, (iii) costo operación y mantenimiento (O&amp;M) = 2% de CAPEX)</t>
    </r>
  </si>
  <si>
    <t xml:space="preserve">BioWATT  (Herramienta de evaluación tecnológica de de la producción de </t>
  </si>
  <si>
    <t>Haga doble clic para acceder</t>
  </si>
  <si>
    <r>
      <t xml:space="preserve">[1] … International Energy Agency IEA (2012): "CO2 Emissions From Fuel Combustion", </t>
    </r>
    <r>
      <rPr>
        <u/>
        <sz val="8"/>
        <color theme="1"/>
        <rFont val="Calibri"/>
        <family val="2"/>
        <scheme val="minor"/>
      </rPr>
      <t>www.iea.org</t>
    </r>
    <r>
      <rPr>
        <sz val="8"/>
        <color theme="1"/>
        <rFont val="Calibri"/>
        <family val="2"/>
        <scheme val="minor"/>
      </rPr>
      <t xml:space="preserve"> </t>
    </r>
  </si>
  <si>
    <r>
      <t xml:space="preserve">[2] … World Bank Group (2015): by Buchauer K., Vazquez V., Nolasco D., Pramanik A.: Wastewater to Energy - A Technical Note for Utility Managers and Decision Makers on Urban Sanitation in East Asian Countries. Report no.: ACS13221. </t>
    </r>
    <r>
      <rPr>
        <u/>
        <sz val="8"/>
        <color theme="1"/>
        <rFont val="Calibri"/>
        <family val="2"/>
        <scheme val="minor"/>
      </rPr>
      <t>http://documents.worldbank.org/curated/en/docsearch/report/ACS13221</t>
    </r>
    <r>
      <rPr>
        <sz val="8"/>
        <color theme="1"/>
        <rFont val="Calibri"/>
        <family val="2"/>
        <scheme val="minor"/>
      </rPr>
      <t xml:space="preserve"> </t>
    </r>
  </si>
  <si>
    <t>[3] … Metcalf &amp; Eddy, AECOM (2014): Wastewater Engineering, Treatment and Resource Recovery. McGraw Hill Education, 5th edition.</t>
  </si>
  <si>
    <r>
      <t xml:space="preserve">[4] …  Sperling M.v., Chernicharo C.A.L. (2005): Biological Wastewater Treatment in Warm Climate Regions, IWA publishing, </t>
    </r>
    <r>
      <rPr>
        <u/>
        <sz val="8"/>
        <color theme="1"/>
        <rFont val="Calibri"/>
        <family val="2"/>
        <scheme val="minor"/>
      </rPr>
      <t>http://www.iwawaterwiki.org/xwiki/bin/view/Articles/DevelopingCountriesTitlesfromIWAPublishingFreetoDownload</t>
    </r>
  </si>
  <si>
    <r>
      <t xml:space="preserve">[5] … ATV (2000): German ATV-DVWK Rules and Standards - Standard ATV-A131E: Dimensioning of Single-Stage Activated Sludge Plants, </t>
    </r>
    <r>
      <rPr>
        <u/>
        <sz val="8"/>
        <color theme="1"/>
        <rFont val="Calibri"/>
        <family val="2"/>
        <scheme val="minor"/>
      </rPr>
      <t>www.dwa.de</t>
    </r>
    <r>
      <rPr>
        <sz val="8"/>
        <color theme="1"/>
        <rFont val="Calibri"/>
        <family val="2"/>
        <scheme val="minor"/>
      </rPr>
      <t xml:space="preserve"> </t>
    </r>
  </si>
  <si>
    <t>[6] ...Haandel A., Lettinga G. (1994): Anaerobic Sewage Treatment - A Practical Guide for Regions with Hot Climate,  John Wiley &amp; Sons.</t>
  </si>
  <si>
    <r>
      <t xml:space="preserve">[7] … ATV (2003): German ATV-DVWK Rules and Standards - Advisory Leaflet M368E – Biological Stabilisation of Sewage Sludge, </t>
    </r>
    <r>
      <rPr>
        <u/>
        <sz val="8"/>
        <color theme="1"/>
        <rFont val="Calibri"/>
        <family val="2"/>
        <scheme val="minor"/>
      </rPr>
      <t>www.dwa.de</t>
    </r>
  </si>
  <si>
    <t>[11] … Lobato L.C.S., Chernicharo C.A.L., Souza C.L. (2012): Estimates of methane loss and energy recovery potential in anaerobic reactors treating domestic wastewater. Water Science and Technology, 66, 12, 2745-2753.</t>
  </si>
  <si>
    <t>[13] … Libhaber M., Orozco-Jaramillo A. (2012): Sustainable Treatment and Reuse of Municipal Wastewater. IWA Publishing.</t>
  </si>
  <si>
    <t>Bibliografía</t>
  </si>
  <si>
    <r>
      <t xml:space="preserve">[8] … ATV (2003): German ATV-DVWK Rules and Standards - Merkblatt M372 – Technische Rahmenbedingungen für die Vergärung biogener Abfälle. </t>
    </r>
    <r>
      <rPr>
        <i/>
        <sz val="8"/>
        <color theme="1"/>
        <rFont val="Calibri"/>
        <family val="2"/>
        <scheme val="minor"/>
      </rPr>
      <t>Ficha Técnica M372 - Condiciones técnicas para la co-digestión de desechos orgánicos (en lengua alemán)</t>
    </r>
    <r>
      <rPr>
        <sz val="8"/>
        <color theme="1"/>
        <rFont val="Calibri"/>
        <family val="2"/>
        <scheme val="minor"/>
      </rPr>
      <t xml:space="preserve">, </t>
    </r>
    <r>
      <rPr>
        <u/>
        <sz val="8"/>
        <color theme="1"/>
        <rFont val="Calibri"/>
        <family val="2"/>
        <scheme val="minor"/>
      </rPr>
      <t>www.dwa.de</t>
    </r>
    <r>
      <rPr>
        <sz val="8"/>
        <color theme="1"/>
        <rFont val="Calibri"/>
        <family val="2"/>
        <scheme val="minor"/>
      </rPr>
      <t>.</t>
    </r>
  </si>
  <si>
    <r>
      <t>[9] … Bauerfeld K., Dockhorn T., Dichtl N. (2009): Klärschlammbehandlung und –verwertung unter anderen klimatischen und sonstigen Randbedingungen.</t>
    </r>
    <r>
      <rPr>
        <i/>
        <sz val="8"/>
        <color theme="1"/>
        <rFont val="Calibri"/>
        <family val="2"/>
        <scheme val="minor"/>
      </rPr>
      <t xml:space="preserve"> Tratamiento de lodo en diferentes climas y condiciones (en lengua alemán), </t>
    </r>
    <r>
      <rPr>
        <u/>
        <sz val="8"/>
        <color theme="1"/>
        <rFont val="Calibri"/>
        <family val="2"/>
        <scheme val="minor"/>
      </rPr>
      <t>http://www.cleaner-production.de/fileadmin/assets/bilder/BMBF-Projekte/02WA0733_-_Abschlussbericht.pdf</t>
    </r>
  </si>
  <si>
    <r>
      <t xml:space="preserve">[10] … VSA (2010), by Müller E.A. et al: Energie in ARA - Leitfaden zur Energieoptimierung auf Abwasserreinigungsanlagen. </t>
    </r>
    <r>
      <rPr>
        <i/>
        <sz val="8"/>
        <color theme="1"/>
        <rFont val="Calibri"/>
        <family val="2"/>
        <scheme val="minor"/>
      </rPr>
      <t xml:space="preserve">Energía en Plantas de Tratamiento de Aguas Residuales - Un guía para la optimización del consumo de energía (en lengua alemán), </t>
    </r>
    <r>
      <rPr>
        <u/>
        <sz val="8"/>
        <color theme="1"/>
        <rFont val="Calibri"/>
        <family val="2"/>
        <scheme val="minor"/>
      </rPr>
      <t>www.vsa.ch</t>
    </r>
  </si>
  <si>
    <r>
      <t xml:space="preserve">[12] … FWT (2008): Expertise sur la capitalisation de l’experience ONEP dans le domaine de l’epuration. Tâche 1: Diagnostic du fonctionnement des STEP et recommandation pour l’amélioration </t>
    </r>
    <r>
      <rPr>
        <i/>
        <sz val="8"/>
        <color theme="1"/>
        <rFont val="Calibri"/>
        <family val="2"/>
        <scheme val="minor"/>
      </rPr>
      <t>(en lengua francés)</t>
    </r>
    <r>
      <rPr>
        <sz val="8"/>
        <color theme="1"/>
        <rFont val="Calibri"/>
        <family val="2"/>
        <scheme val="minor"/>
      </rPr>
      <t>, financiado por ONEP y KfW.</t>
    </r>
  </si>
  <si>
    <t>Seleccione el valor apropiado del menú desplegable 
o use datos provenientes de otras fuentes (p. ej. [1])</t>
  </si>
  <si>
    <t>Típicamente: 1.00 (0.8-1.2)  [2,3,4,5]</t>
  </si>
  <si>
    <t>Típicamente: VSS/TSS = 0.75 (0.6-0.85)  [2,3,4]; 
en caso del número dominante de tanques sépticos en la zona de captación, este dato podría bajar a 0.2-0.3  [2].</t>
  </si>
  <si>
    <t>Seleccione el valor apropiado del menú desplegable 
o use datos provenientes de otras fuentes  [3,4,5]</t>
  </si>
  <si>
    <t>Típicamente: 0.75 (0.50-1.5) en una carga hidráulica promedio  [3,5]</t>
  </si>
  <si>
    <t>Típicamente: 30 (20-35)  [3,5]</t>
  </si>
  <si>
    <t>Típicamente: 50 (50-65)  [3,5]</t>
  </si>
  <si>
    <t>Espesador de gravedad 2-6%  [3,4]. 
Espesador mecánico: 5-7%  [3,4].</t>
  </si>
  <si>
    <t>Típicamente: VSS/TSS = 0.75 (0.6-0.85)  [2,3,7]; 
en caso de muchos tanques sépticos, este dato podría bajar a 0.2-0.3  [2]</t>
  </si>
  <si>
    <t xml:space="preserve">Típicamente: 0.75 (0.5-1.2), dependiendo del afluente de TSS, tiempo medio de retención lodo, temperatura  [3,4,5]. </t>
  </si>
  <si>
    <t>Espesador de gravedad 2-4%  [3,4]. 
Espesador mecánico: 5-7%  [3,4].</t>
  </si>
  <si>
    <t>(i) tiempo de retención lodo ≈ 5-10 días: promedio de 70% (65-75%)  [2,3,7,9], 
(ii) tiempo de retención lodo ≈ 10-15 días: promedio de 68% (62-75%)  [2,3,7,9], 
(iii) tiempo de retención lodo &gt; 20 días: promedio de 65 (60-70%)  [2,3,7,9]</t>
  </si>
  <si>
    <t>Seleccione el valor apropiado del menú desplegable 
o use datos provenientes de otras fuentes  [2,3,8]</t>
  </si>
  <si>
    <t>Típicamente: +20% (10-30%)  [2]</t>
  </si>
  <si>
    <t>(i) digestor mesofílico (30-38°C): &gt;15 días (plantas WWTP grandes), &gt;20 días (WWTP medianas y pequeñas)  [2,3,4]. 
(ii) temperatura ambiente: véase la figura  [2,7,9].</t>
  </si>
  <si>
    <t>Típicamente: 55-60%  [2,3,4]</t>
  </si>
  <si>
    <t>Típicamente: 30-40%  [2,3,4]</t>
  </si>
  <si>
    <t>Típicamente: 23 (18-35)  [3,4]</t>
  </si>
  <si>
    <t>Típicamente: 20 (10-30)% para plantas WWTP grandes a pequeñas  [2,3]</t>
  </si>
  <si>
    <t>Típicamente: 950 (900-1000)  [2,3]</t>
  </si>
  <si>
    <t>Típicamente: 750 (700-800)  [2,3]</t>
  </si>
  <si>
    <t>Típicamente: 65 (60-70%)  [2,3,4,6]</t>
  </si>
  <si>
    <t>Típicamente: cogeneración: 30-40%, microturbina: 28-33%,
o véase la figura  [2,3]</t>
  </si>
  <si>
    <t>Típicamente: 20-50  [2],
o véase la tabla  [2,10]</t>
  </si>
  <si>
    <t>Típicamente: 50 (50-55)%  [2,3]</t>
  </si>
  <si>
    <t xml:space="preserve">Típicamente: 0.65 (0.5-1.0), depende del afluente de TSS, la carga del filtro, la temperatura  [3,4]. </t>
  </si>
  <si>
    <t>Típicamente: 70 (60-70%)  [2,3,9]</t>
  </si>
  <si>
    <t>(i) digestor mesofílico (30-38°C): &gt;15 días (plantas WWTP grandes), &gt;20 días (WWTP medianas y pequeñas)  [2,3,4]. 
(ii) temperatura ambiente: véase la figura para CAS + Digestión  [2,7,9]</t>
  </si>
  <si>
    <t>Típicamente: 15 (8-38), depende de los requisitos de consumo de energía para las etapas de tratamiento distintas del filtro percolador  [2]</t>
  </si>
  <si>
    <t>Típicamente: 0.3 (0.2-0.4)  [2,4,6]</t>
  </si>
  <si>
    <t>Típicamente: 3.5 (3-5)%  [2,4,6]</t>
  </si>
  <si>
    <t xml:space="preserve">Espesante de gravedad 3-6%  [experiencia]. </t>
  </si>
  <si>
    <t>Típicamente: 56% (50-60%)  [9]</t>
  </si>
  <si>
    <t>Típicamente: 24 (20-35)  [3,4]</t>
  </si>
  <si>
    <t>Típicamente: 217 (115-280)  [2,11]</t>
  </si>
  <si>
    <t>Típicamente: 65 (60-80)%  [2,3,4,6,11]</t>
  </si>
  <si>
    <t>Típicamente: cogeneración: 30-40%, microturbina: 28-33%,
o véase la figura anterior para CAS + Digestión  [2,3]</t>
  </si>
  <si>
    <t>Típicamente: 8 (2-13)  [2]</t>
  </si>
  <si>
    <r>
      <t>Este factor indica qué tan potente es el metano como GEI con respecto al CO</t>
    </r>
    <r>
      <rPr>
        <vertAlign val="subscript"/>
        <sz val="8"/>
        <rFont val="Calibri"/>
        <family val="2"/>
        <scheme val="minor"/>
      </rPr>
      <t>2</t>
    </r>
    <r>
      <rPr>
        <sz val="8"/>
        <rFont val="Calibri"/>
        <family val="2"/>
        <scheme val="minor"/>
      </rPr>
      <t xml:space="preserve">  [2,3]</t>
    </r>
  </si>
  <si>
    <t>[2]</t>
  </si>
  <si>
    <t>Típicamente: 6 (4-10)  [2,4,12]</t>
  </si>
  <si>
    <t>Típicamente: 6 (5-10)%  [2,4,12]</t>
  </si>
  <si>
    <t>Típicamente: 55 (50-60)%  [9]</t>
  </si>
  <si>
    <t>Típicamente: 25 (20-35)  [3,4]</t>
  </si>
  <si>
    <t>Típicamente: 180 (160-230)  [2,4,6,11,13]</t>
  </si>
  <si>
    <t>Típicamente: 70 (60-80)%  [2,4,6,11,13]</t>
  </si>
  <si>
    <t>Típicamente: 1-3, depende principalmente de las necesidades de bombeo (véase la figura)  [2]</t>
  </si>
  <si>
    <r>
      <rPr>
        <b/>
        <sz val="11"/>
        <color theme="1"/>
        <rFont val="Calibri"/>
        <family val="2"/>
        <scheme val="minor"/>
      </rPr>
      <t>A continuación aparecen las instrucciones básicas para usar la Herramienta de evaluación tecnológica de la producción de biogás a partir de aguas residuales (BioWATT). La Guía del usuario de BioWATT contiene información más detallada sobre BioWATT y las tecnologías de producción de energía a partir de aguas residuales valoradas por la herramienta (esta guía aparece incrustada como pdf en la parte superior de cada hoja de cálculo).</t>
    </r>
    <r>
      <rPr>
        <sz val="11"/>
        <color theme="1"/>
        <rFont val="Calibri"/>
        <family val="2"/>
        <scheme val="minor"/>
      </rPr>
      <t xml:space="preserve">
</t>
    </r>
    <r>
      <rPr>
        <i/>
        <sz val="11"/>
        <color theme="1"/>
        <rFont val="Calibri"/>
        <family val="2"/>
        <scheme val="minor"/>
      </rPr>
      <t>La mayoría de los usuarios deben introducir los datos y ver los resultados en la hoja de cálculo denominada “Módulo básico”. Esta hoja de cálculo utiliza valores estándar para obtener los resultados. Los usuarios que tengan conocimientos avanzados del tratamiento de aguas residuales pueden usar la hoja de cálculo denominada “Módulo avanzado” para introducir datos más específicos o sobrescribir los datos predeterminados y así obtener resultados más precisos.</t>
    </r>
    <r>
      <rPr>
        <sz val="11"/>
        <color theme="1"/>
        <rFont val="Calibri"/>
        <family val="2"/>
        <scheme val="minor"/>
      </rPr>
      <t xml:space="preserve">
</t>
    </r>
    <r>
      <rPr>
        <b/>
        <sz val="11"/>
        <color theme="1"/>
        <rFont val="Calibri"/>
        <family val="2"/>
        <scheme val="minor"/>
      </rPr>
      <t>1. Introducir datos específicos del proyecto en las celdas VERDES.</t>
    </r>
    <r>
      <rPr>
        <sz val="11"/>
        <color theme="1"/>
        <rFont val="Calibri"/>
        <family val="2"/>
        <scheme val="minor"/>
      </rPr>
      <t xml:space="preserve">
- En la hoja de cálculo “Módulo básico”, las entradas están en la sección “DATOS DE ENTRADA”.
- La hoja de cálculo “Módulo avanzado” cuenta con entradas más detalladas para las diferentes tecnologías de producción de energía a partir de aguas residuales que son valoradas por la herramienta.
**BioWATT permite entradas por parte del usuario para facilitar su aplicación. En la columna ‘Comentario’ se indican números de referencias para la definición de estas entradas, tanto en el Módulo básico como en el Módulo avanzado (por ejemplo, [1,2,5]), con todos los detalles de estas referencias indicados al fin de cada hoja.
</t>
    </r>
    <r>
      <rPr>
        <b/>
        <sz val="11"/>
        <color theme="1"/>
        <rFont val="Calibri"/>
        <family val="2"/>
        <scheme val="minor"/>
      </rPr>
      <t>2. Ver resultados</t>
    </r>
    <r>
      <rPr>
        <sz val="11"/>
        <color theme="1"/>
        <rFont val="Calibri"/>
        <family val="2"/>
        <scheme val="minor"/>
      </rPr>
      <t xml:space="preserve">
- El resumen de resultados para las tecnologías de producción de energía a partir de aguas residuales valoradas se muestra en la hoja de cálculo “Módulo básico” debajo de “RESUMEN DE RESULTADOS.” (Todos los resultados de salida se calculan en la hoja de cálculo “Módulo avanzado”. Los valores seleccionados en la hoja de cálculo “Módulo avanzado” se copian en la sección “RESUMEN DE RESULTADOS” de la hoja de cálculo “Módulo básico”.) Todas las Salidas tanto en la hoja de cálculo “Módulo básico” como “Módulo avanzado” están en las celdas color NARANJA.
- Se pueden obtener resultados y datos más detallados sobre las tecnologías de producción de energía a partir de aguas residuales valorados por BioWATT en la hoja de cálculo “Módulo avanzado”. Esto es así independientemente de si el usuario depende de los datos predeterminados de la herramienta o si el usuario decide introducir datos más específicos o sobrescribe los datos predeterminados en la hoja de cálculo “Módulo avanzado”.
Se incluyen en ambas hojas de cálculo, “Módulo básico” y “Módulo avanzado”, notas explicativas o instrucciones de campo para ciertas entradas y salidas. </t>
    </r>
  </si>
  <si>
    <t>v1.0 (11-may-2016)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</si>
</sst>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4">
    <numFmt numFmtId="164" formatCode="0.0"/>
    <numFmt numFmtId="165" formatCode="#,##0.0"/>
    <numFmt numFmtId="166" formatCode="#,##0\ &quot;(5-6) ... whey from dairy&quot;"/>
    <numFmt numFmtId="167" formatCode="#,##0\ &quot;...países en vías de desarrollo rurales&quot;"/>
    <numFmt numFmtId="168" formatCode="#,##0\ &quot;...países en transición&quot;"/>
    <numFmt numFmtId="169" formatCode="#,##0\ &quot;...países industrializados&quot;"/>
    <numFmt numFmtId="170" formatCode="#,##0\ &quot;(2-30) ... Aceites y grasas&quot;"/>
    <numFmt numFmtId="171" formatCode="#,##0\ &quot;(5-30) ...Desperdicios de restaurantes&quot;"/>
    <numFmt numFmtId="172" formatCode="#,##0\ &quot;(70-95) ...Aceites y grasas&quot;"/>
    <numFmt numFmtId="173" formatCode="#,##0\ &quot;(70-96) ...Desperdicios de restaurantes&quot;"/>
    <numFmt numFmtId="174" formatCode="#,##0\ &quot;(5-6) ...Suero de la leche&quot;"/>
    <numFmt numFmtId="175" formatCode="#,##0\ &quot;(90-95) ...Suero de la leche&quot;"/>
    <numFmt numFmtId="176" formatCode="#,##0\ &quot;(70-90) ...Aceites y grasas&quot;"/>
    <numFmt numFmtId="177" formatCode="#,##0\ &quot;(60-95) ...Desperdicios de restaurantes&quot;"/>
    <numFmt numFmtId="178" formatCode="#,##0\ &quot;(94-99) ...Suero de la leche&quot;"/>
    <numFmt numFmtId="179" formatCode="#,##0\ &quot;(700-2000) ...Aceites y grasas&quot;"/>
    <numFmt numFmtId="180" formatCode="#,##0\ &quot;(700-1250) ...Desperdicios de restaurantes&quot;"/>
    <numFmt numFmtId="181" formatCode="#,##0\ &quot;(800-1000) ...Suero de la leche&quot;"/>
    <numFmt numFmtId="182" formatCode="#,##0\ &quot;(70-85) ...Aceites y grasas&quot;"/>
    <numFmt numFmtId="183" formatCode="#,##0\ &quot;(50-65) ...Desperdicios de restaurantes&quot;"/>
    <numFmt numFmtId="184" formatCode="#,##0\ &quot;...Suero de la leche&quot;"/>
    <numFmt numFmtId="185" formatCode="#,##0\ &quot;...altamente fósil&quot;"/>
    <numFmt numFmtId="186" formatCode="#,##0\ &quot;...promedio mundial 2010&quot;"/>
    <numFmt numFmtId="187" formatCode="#,##0\ &quot;...altamente renovable&quot;"/>
  </numFmts>
  <fonts count="34" x14ac:knownFonts="1">
    <font>
      <sz val="11"/>
      <color theme="1"/>
      <name val="Calibri"/>
      <family val="2"/>
      <scheme val="minor"/>
    </font>
    <font>
      <sz val="11"/>
      <color theme="1"/>
      <name val="Calibri"/>
      <family val="2"/>
      <scheme val="minor"/>
    </font>
    <font>
      <sz val="10"/>
      <name val="Arial"/>
      <family val="2"/>
    </font>
    <font>
      <u/>
      <sz val="8"/>
      <color theme="1"/>
      <name val="Calibri"/>
      <family val="2"/>
      <scheme val="minor"/>
    </font>
    <font>
      <sz val="8"/>
      <name val="Calibri"/>
      <family val="2"/>
      <scheme val="minor"/>
    </font>
    <font>
      <sz val="8"/>
      <color theme="1"/>
      <name val="Calibri"/>
      <family val="2"/>
      <scheme val="minor"/>
    </font>
    <font>
      <vertAlign val="subscript"/>
      <sz val="8"/>
      <name val="Calibri"/>
      <family val="2"/>
      <scheme val="minor"/>
    </font>
    <font>
      <vertAlign val="subscript"/>
      <sz val="8"/>
      <color theme="1"/>
      <name val="Calibri"/>
      <family val="2"/>
      <scheme val="minor"/>
    </font>
    <font>
      <sz val="10"/>
      <color theme="1"/>
      <name val="Calibri"/>
      <family val="2"/>
      <scheme val="minor"/>
    </font>
    <font>
      <b/>
      <sz val="10"/>
      <color theme="1"/>
      <name val="Calibri"/>
      <family val="2"/>
      <scheme val="minor"/>
    </font>
    <font>
      <b/>
      <sz val="8"/>
      <color theme="1"/>
      <name val="Calibri"/>
      <family val="2"/>
      <scheme val="minor"/>
    </font>
    <font>
      <vertAlign val="superscript"/>
      <sz val="8"/>
      <name val="Calibri"/>
      <family val="2"/>
      <scheme val="minor"/>
    </font>
    <font>
      <sz val="11"/>
      <color theme="0"/>
      <name val="Calibri"/>
      <family val="2"/>
      <scheme val="minor"/>
    </font>
    <font>
      <b/>
      <sz val="12"/>
      <color theme="1"/>
      <name val="Calibri"/>
      <family val="2"/>
      <scheme val="minor"/>
    </font>
    <font>
      <b/>
      <sz val="12"/>
      <color theme="0"/>
      <name val="Calibri"/>
      <family val="2"/>
      <scheme val="minor"/>
    </font>
    <font>
      <b/>
      <sz val="9"/>
      <color theme="0"/>
      <name val="Calibri"/>
      <family val="2"/>
      <scheme val="minor"/>
    </font>
    <font>
      <vertAlign val="superscript"/>
      <sz val="8"/>
      <color theme="1"/>
      <name val="Calibri"/>
      <family val="2"/>
      <scheme val="minor"/>
    </font>
    <font>
      <b/>
      <sz val="8"/>
      <color theme="1"/>
      <name val="Calibri"/>
      <family val="2"/>
    </font>
    <font>
      <b/>
      <vertAlign val="superscript"/>
      <sz val="8"/>
      <color theme="1"/>
      <name val="Calibri"/>
      <family val="2"/>
      <scheme val="minor"/>
    </font>
    <font>
      <b/>
      <sz val="8"/>
      <name val="Calibri"/>
      <family val="2"/>
      <scheme val="minor"/>
    </font>
    <font>
      <b/>
      <sz val="8"/>
      <color rgb="FF0070C0"/>
      <name val="Calibri"/>
      <family val="2"/>
      <scheme val="minor"/>
    </font>
    <font>
      <sz val="8"/>
      <color theme="1"/>
      <name val="Calibri"/>
      <family val="2"/>
    </font>
    <font>
      <b/>
      <sz val="11"/>
      <color theme="1"/>
      <name val="Calibri"/>
      <family val="2"/>
      <scheme val="minor"/>
    </font>
    <font>
      <sz val="8"/>
      <color rgb="FFFF0000"/>
      <name val="Calibri"/>
      <family val="2"/>
      <scheme val="minor"/>
    </font>
    <font>
      <b/>
      <u/>
      <sz val="9"/>
      <color theme="1"/>
      <name val="Calibri"/>
      <family val="2"/>
      <scheme val="minor"/>
    </font>
    <font>
      <b/>
      <sz val="9"/>
      <name val="Calibri"/>
      <family val="2"/>
      <scheme val="minor"/>
    </font>
    <font>
      <b/>
      <u/>
      <sz val="9"/>
      <name val="Calibri"/>
      <family val="2"/>
      <scheme val="minor"/>
    </font>
    <font>
      <b/>
      <vertAlign val="subscript"/>
      <sz val="8"/>
      <color rgb="FF0070C0"/>
      <name val="Calibri"/>
      <family val="2"/>
      <scheme val="minor"/>
    </font>
    <font>
      <i/>
      <sz val="11"/>
      <color theme="1"/>
      <name val="Calibri"/>
      <family val="2"/>
      <scheme val="minor"/>
    </font>
    <font>
      <u/>
      <sz val="11"/>
      <color theme="10"/>
      <name val="Calibri"/>
      <family val="2"/>
      <scheme val="minor"/>
    </font>
    <font>
      <u/>
      <sz val="11"/>
      <color theme="11"/>
      <name val="Calibri"/>
      <family val="2"/>
      <scheme val="minor"/>
    </font>
    <font>
      <sz val="11"/>
      <name val="Calibri"/>
      <family val="2"/>
      <scheme val="minor"/>
    </font>
    <font>
      <u/>
      <sz val="9"/>
      <color theme="1"/>
      <name val="Calibri"/>
      <family val="2"/>
      <scheme val="minor"/>
    </font>
    <font>
      <i/>
      <sz val="8"/>
      <color theme="1"/>
      <name val="Calibri"/>
      <family val="2"/>
      <scheme val="minor"/>
    </font>
  </fonts>
  <fills count="9">
    <fill>
      <patternFill patternType="none"/>
    </fill>
    <fill>
      <patternFill patternType="gray125"/>
    </fill>
    <fill>
      <patternFill patternType="solid">
        <fgColor theme="0" tint="-0.14999847407452621"/>
        <bgColor indexed="64"/>
      </patternFill>
    </fill>
    <fill>
      <patternFill patternType="solid">
        <fgColor theme="9" tint="-0.249977111117893"/>
        <bgColor indexed="64"/>
      </patternFill>
    </fill>
    <fill>
      <patternFill patternType="solid">
        <fgColor rgb="FF92D050"/>
        <bgColor indexed="64"/>
      </patternFill>
    </fill>
    <fill>
      <patternFill patternType="solid">
        <fgColor rgb="FF0070C0"/>
        <bgColor indexed="64"/>
      </patternFill>
    </fill>
    <fill>
      <patternFill patternType="solid">
        <fgColor theme="0" tint="-0.249977111117893"/>
        <bgColor indexed="64"/>
      </patternFill>
    </fill>
    <fill>
      <patternFill patternType="solid">
        <fgColor theme="9"/>
        <bgColor indexed="64"/>
      </patternFill>
    </fill>
    <fill>
      <patternFill patternType="solid">
        <fgColor theme="0"/>
        <bgColor indexed="64"/>
      </patternFill>
    </fill>
  </fills>
  <borders count="21">
    <border>
      <left/>
      <right/>
      <top/>
      <bottom/>
      <diagonal/>
    </border>
    <border>
      <left style="thin">
        <color auto="1"/>
      </left>
      <right style="thin">
        <color auto="1"/>
      </right>
      <top style="thin">
        <color auto="1"/>
      </top>
      <bottom/>
      <diagonal/>
    </border>
    <border>
      <left style="thin">
        <color auto="1"/>
      </left>
      <right style="thin">
        <color auto="1"/>
      </right>
      <top style="thin">
        <color auto="1"/>
      </top>
      <bottom style="hair">
        <color auto="1"/>
      </bottom>
      <diagonal/>
    </border>
    <border>
      <left style="thin">
        <color auto="1"/>
      </left>
      <right style="thin">
        <color auto="1"/>
      </right>
      <top style="hair">
        <color auto="1"/>
      </top>
      <bottom style="hair">
        <color auto="1"/>
      </bottom>
      <diagonal/>
    </border>
    <border>
      <left style="thin">
        <color auto="1"/>
      </left>
      <right style="thin">
        <color auto="1"/>
      </right>
      <top style="hair">
        <color auto="1"/>
      </top>
      <bottom style="thin">
        <color auto="1"/>
      </bottom>
      <diagonal/>
    </border>
    <border>
      <left style="thin">
        <color auto="1"/>
      </left>
      <right style="thin">
        <color auto="1"/>
      </right>
      <top style="thin">
        <color auto="1"/>
      </top>
      <bottom style="thin">
        <color auto="1"/>
      </bottom>
      <diagonal/>
    </border>
    <border>
      <left style="thin">
        <color auto="1"/>
      </left>
      <right/>
      <top style="hair">
        <color auto="1"/>
      </top>
      <bottom style="thin">
        <color auto="1"/>
      </bottom>
      <diagonal/>
    </border>
    <border>
      <left/>
      <right/>
      <top/>
      <bottom style="thin">
        <color auto="1"/>
      </bottom>
      <diagonal/>
    </border>
    <border>
      <left style="thin">
        <color auto="1"/>
      </left>
      <right/>
      <top style="hair">
        <color auto="1"/>
      </top>
      <bottom style="hair">
        <color auto="1"/>
      </bottom>
      <diagonal/>
    </border>
    <border>
      <left style="thin">
        <color auto="1"/>
      </left>
      <right/>
      <top style="thin">
        <color auto="1"/>
      </top>
      <bottom style="hair">
        <color auto="1"/>
      </bottom>
      <diagonal/>
    </border>
    <border>
      <left style="thin">
        <color auto="1"/>
      </left>
      <right style="thin">
        <color auto="1"/>
      </right>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thin">
        <color auto="1"/>
      </left>
      <right/>
      <top style="medium">
        <color auto="1"/>
      </top>
      <bottom style="hair">
        <color auto="1"/>
      </bottom>
      <diagonal/>
    </border>
    <border>
      <left style="thin">
        <color auto="1"/>
      </left>
      <right style="thin">
        <color auto="1"/>
      </right>
      <top/>
      <bottom style="hair">
        <color auto="1"/>
      </bottom>
      <diagonal/>
    </border>
    <border>
      <left style="thin">
        <color auto="1"/>
      </left>
      <right/>
      <top/>
      <bottom style="hair">
        <color auto="1"/>
      </bottom>
      <diagonal/>
    </border>
    <border>
      <left style="thin">
        <color auto="1"/>
      </left>
      <right style="thin">
        <color auto="1"/>
      </right>
      <top style="hair">
        <color auto="1"/>
      </top>
      <bottom/>
      <diagonal/>
    </border>
    <border>
      <left style="thin">
        <color auto="1"/>
      </left>
      <right/>
      <top style="hair">
        <color auto="1"/>
      </top>
      <bottom/>
      <diagonal/>
    </border>
    <border>
      <left style="thin">
        <color auto="1"/>
      </left>
      <right/>
      <top style="thin">
        <color auto="1"/>
      </top>
      <bottom style="thin">
        <color auto="1"/>
      </bottom>
      <diagonal/>
    </border>
    <border>
      <left style="thin">
        <color auto="1"/>
      </left>
      <right style="thin">
        <color auto="1"/>
      </right>
      <top/>
      <bottom style="thin">
        <color auto="1"/>
      </bottom>
      <diagonal/>
    </border>
  </borders>
  <cellStyleXfs count="5">
    <xf numFmtId="0" fontId="0" fillId="0" borderId="0"/>
    <xf numFmtId="9" fontId="1" fillId="0" borderId="0" applyFont="0" applyFill="0" applyBorder="0" applyAlignment="0" applyProtection="0"/>
    <xf numFmtId="0" fontId="2" fillId="0" borderId="0"/>
    <xf numFmtId="0" fontId="29" fillId="0" borderId="0" applyNumberFormat="0" applyFill="0" applyBorder="0" applyAlignment="0" applyProtection="0"/>
    <xf numFmtId="0" fontId="30" fillId="0" borderId="0" applyNumberFormat="0" applyFill="0" applyBorder="0" applyAlignment="0" applyProtection="0"/>
  </cellStyleXfs>
  <cellXfs count="177">
    <xf numFmtId="0" fontId="0" fillId="0" borderId="0" xfId="0"/>
    <xf numFmtId="0" fontId="5" fillId="0" borderId="3" xfId="0" applyFont="1" applyBorder="1" applyAlignment="1">
      <alignment vertical="center"/>
    </xf>
    <xf numFmtId="0" fontId="4" fillId="0" borderId="3" xfId="2" applyFont="1" applyBorder="1" applyAlignment="1">
      <alignment horizontal="left" vertical="center" wrapText="1"/>
    </xf>
    <xf numFmtId="3" fontId="4" fillId="0" borderId="3" xfId="2" applyNumberFormat="1" applyFont="1" applyFill="1" applyBorder="1" applyAlignment="1">
      <alignment horizontal="right" vertical="center"/>
    </xf>
    <xf numFmtId="0" fontId="4" fillId="0" borderId="3" xfId="2" applyFont="1" applyBorder="1" applyAlignment="1">
      <alignment horizontal="left" vertical="center"/>
    </xf>
    <xf numFmtId="0" fontId="10" fillId="0" borderId="3" xfId="0" applyFont="1" applyBorder="1" applyAlignment="1">
      <alignment vertical="center"/>
    </xf>
    <xf numFmtId="9" fontId="4" fillId="0" borderId="3" xfId="2" applyNumberFormat="1" applyFont="1" applyFill="1" applyBorder="1" applyAlignment="1">
      <alignment horizontal="right" vertical="center"/>
    </xf>
    <xf numFmtId="0" fontId="5" fillId="0" borderId="0" xfId="0" applyFont="1"/>
    <xf numFmtId="0" fontId="0" fillId="0" borderId="0" xfId="0" applyAlignment="1">
      <alignment vertical="center"/>
    </xf>
    <xf numFmtId="0" fontId="13" fillId="0" borderId="0" xfId="0" applyFont="1" applyAlignment="1">
      <alignment vertical="center"/>
    </xf>
    <xf numFmtId="0" fontId="9" fillId="0" borderId="0" xfId="0" applyFont="1" applyAlignment="1">
      <alignment vertical="center"/>
    </xf>
    <xf numFmtId="0" fontId="8" fillId="0" borderId="0" xfId="0" applyFont="1" applyAlignment="1">
      <alignment vertical="center"/>
    </xf>
    <xf numFmtId="0" fontId="3" fillId="2" borderId="2" xfId="0" applyFont="1" applyFill="1" applyBorder="1" applyAlignment="1">
      <alignment vertical="center"/>
    </xf>
    <xf numFmtId="0" fontId="4" fillId="2" borderId="2" xfId="2" applyFont="1" applyFill="1" applyBorder="1" applyAlignment="1">
      <alignment horizontal="left" vertical="center"/>
    </xf>
    <xf numFmtId="0" fontId="3" fillId="2" borderId="3" xfId="0" applyFont="1" applyFill="1" applyBorder="1" applyAlignment="1">
      <alignment vertical="center"/>
    </xf>
    <xf numFmtId="0" fontId="4" fillId="2" borderId="3" xfId="2" applyFont="1" applyFill="1" applyBorder="1" applyAlignment="1">
      <alignment horizontal="left" vertical="center"/>
    </xf>
    <xf numFmtId="165" fontId="4" fillId="0" borderId="3" xfId="2" applyNumberFormat="1" applyFont="1" applyFill="1" applyBorder="1" applyAlignment="1">
      <alignment horizontal="right" vertical="center"/>
    </xf>
    <xf numFmtId="0" fontId="5" fillId="0" borderId="4" xfId="0" applyFont="1" applyBorder="1" applyAlignment="1">
      <alignment vertical="center"/>
    </xf>
    <xf numFmtId="0" fontId="14" fillId="3" borderId="0" xfId="0" applyFont="1" applyFill="1" applyAlignment="1">
      <alignment vertical="center"/>
    </xf>
    <xf numFmtId="0" fontId="4" fillId="0" borderId="4" xfId="2" quotePrefix="1" applyFont="1" applyBorder="1" applyAlignment="1">
      <alignment horizontal="left" vertical="center"/>
    </xf>
    <xf numFmtId="0" fontId="0" fillId="0" borderId="0" xfId="0" applyBorder="1"/>
    <xf numFmtId="0" fontId="15" fillId="5" borderId="1" xfId="2" applyFont="1" applyFill="1" applyBorder="1" applyAlignment="1">
      <alignment horizontal="left" vertical="center"/>
    </xf>
    <xf numFmtId="0" fontId="15" fillId="5" borderId="1" xfId="0" applyFont="1" applyFill="1" applyBorder="1" applyAlignment="1">
      <alignment horizontal="center" vertical="center"/>
    </xf>
    <xf numFmtId="0" fontId="15" fillId="5" borderId="1" xfId="0" applyFont="1" applyFill="1" applyBorder="1" applyAlignment="1">
      <alignment vertical="center"/>
    </xf>
    <xf numFmtId="0" fontId="15" fillId="5" borderId="5" xfId="2" applyFont="1" applyFill="1" applyBorder="1" applyAlignment="1">
      <alignment horizontal="left" vertical="center"/>
    </xf>
    <xf numFmtId="0" fontId="15" fillId="5" borderId="5" xfId="0" applyFont="1" applyFill="1" applyBorder="1" applyAlignment="1">
      <alignment horizontal="center" vertical="center"/>
    </xf>
    <xf numFmtId="0" fontId="15" fillId="5" borderId="5" xfId="0" applyFont="1" applyFill="1" applyBorder="1" applyAlignment="1">
      <alignment vertical="center"/>
    </xf>
    <xf numFmtId="0" fontId="5" fillId="0" borderId="3" xfId="0" applyFont="1" applyFill="1" applyBorder="1" applyAlignment="1">
      <alignment vertical="center"/>
    </xf>
    <xf numFmtId="0" fontId="4" fillId="0" borderId="3" xfId="2" applyFont="1" applyFill="1" applyBorder="1" applyAlignment="1">
      <alignment horizontal="left" vertical="center"/>
    </xf>
    <xf numFmtId="0" fontId="0" fillId="0" borderId="0" xfId="0" applyFill="1"/>
    <xf numFmtId="0" fontId="0" fillId="0" borderId="0" xfId="0" applyAlignment="1">
      <alignment vertical="center" wrapText="1"/>
    </xf>
    <xf numFmtId="0" fontId="8" fillId="0" borderId="0" xfId="0" applyFont="1" applyAlignment="1">
      <alignment vertical="center" wrapText="1"/>
    </xf>
    <xf numFmtId="0" fontId="15" fillId="5" borderId="1" xfId="0" applyFont="1" applyFill="1" applyBorder="1" applyAlignment="1">
      <alignment vertical="center" wrapText="1"/>
    </xf>
    <xf numFmtId="0" fontId="4" fillId="2" borderId="2" xfId="2" applyFont="1" applyFill="1" applyBorder="1" applyAlignment="1">
      <alignment horizontal="left" vertical="center" wrapText="1"/>
    </xf>
    <xf numFmtId="0" fontId="4" fillId="2" borderId="3" xfId="2" applyFont="1" applyFill="1" applyBorder="1" applyAlignment="1">
      <alignment horizontal="left" vertical="center" wrapText="1"/>
    </xf>
    <xf numFmtId="0" fontId="4" fillId="0" borderId="4" xfId="2" applyFont="1" applyBorder="1" applyAlignment="1">
      <alignment horizontal="left" vertical="center" wrapText="1"/>
    </xf>
    <xf numFmtId="0" fontId="15" fillId="5" borderId="5" xfId="0" applyFont="1" applyFill="1" applyBorder="1" applyAlignment="1">
      <alignment vertical="center" wrapText="1"/>
    </xf>
    <xf numFmtId="0" fontId="4" fillId="0" borderId="3" xfId="2" applyFont="1" applyFill="1" applyBorder="1" applyAlignment="1">
      <alignment horizontal="left" vertical="center" wrapText="1"/>
    </xf>
    <xf numFmtId="0" fontId="5" fillId="0" borderId="3" xfId="0" applyFont="1" applyBorder="1" applyAlignment="1">
      <alignment vertical="center" wrapText="1"/>
    </xf>
    <xf numFmtId="0" fontId="17" fillId="0" borderId="3" xfId="0" applyFont="1" applyBorder="1" applyAlignment="1">
      <alignment vertical="center"/>
    </xf>
    <xf numFmtId="164" fontId="4" fillId="0" borderId="3" xfId="2" applyNumberFormat="1" applyFont="1" applyFill="1" applyBorder="1" applyAlignment="1">
      <alignment horizontal="right" vertical="center"/>
    </xf>
    <xf numFmtId="0" fontId="19" fillId="0" borderId="3" xfId="2" applyFont="1" applyBorder="1" applyAlignment="1">
      <alignment horizontal="left" vertical="center"/>
    </xf>
    <xf numFmtId="1" fontId="4" fillId="0" borderId="3" xfId="2" applyNumberFormat="1" applyFont="1" applyFill="1" applyBorder="1" applyAlignment="1">
      <alignment horizontal="right" vertical="center"/>
    </xf>
    <xf numFmtId="0" fontId="4" fillId="2" borderId="9" xfId="2" applyFont="1" applyFill="1" applyBorder="1" applyAlignment="1">
      <alignment horizontal="right" vertical="center"/>
    </xf>
    <xf numFmtId="0" fontId="4" fillId="2" borderId="8" xfId="2" applyFont="1" applyFill="1" applyBorder="1" applyAlignment="1">
      <alignment horizontal="right" vertical="center"/>
    </xf>
    <xf numFmtId="0" fontId="20" fillId="0" borderId="3" xfId="0" applyFont="1" applyBorder="1" applyAlignment="1">
      <alignment vertical="center"/>
    </xf>
    <xf numFmtId="0" fontId="20" fillId="0" borderId="3" xfId="2" applyFont="1" applyBorder="1" applyAlignment="1">
      <alignment horizontal="left" vertical="center"/>
    </xf>
    <xf numFmtId="0" fontId="5" fillId="0" borderId="7" xfId="0" applyFont="1" applyBorder="1" applyAlignment="1">
      <alignment vertical="center"/>
    </xf>
    <xf numFmtId="3" fontId="4" fillId="0" borderId="7" xfId="2" applyNumberFormat="1" applyFont="1" applyFill="1" applyBorder="1" applyAlignment="1">
      <alignment horizontal="right" vertical="center"/>
    </xf>
    <xf numFmtId="0" fontId="4" fillId="0" borderId="7" xfId="2" applyFont="1" applyBorder="1" applyAlignment="1">
      <alignment horizontal="left" vertical="center"/>
    </xf>
    <xf numFmtId="0" fontId="4" fillId="0" borderId="7" xfId="2" applyFont="1" applyBorder="1" applyAlignment="1">
      <alignment horizontal="left" vertical="center" wrapText="1"/>
    </xf>
    <xf numFmtId="0" fontId="4" fillId="0" borderId="3" xfId="2" quotePrefix="1" applyFont="1" applyBorder="1" applyAlignment="1">
      <alignment horizontal="left" vertical="center"/>
    </xf>
    <xf numFmtId="4" fontId="4" fillId="0" borderId="3" xfId="2" applyNumberFormat="1" applyFont="1" applyFill="1" applyBorder="1" applyAlignment="1">
      <alignment horizontal="right" vertical="center"/>
    </xf>
    <xf numFmtId="165" fontId="4" fillId="0" borderId="3" xfId="2" applyNumberFormat="1" applyFont="1" applyFill="1" applyBorder="1" applyAlignment="1">
      <alignment horizontal="right" vertical="center" wrapText="1"/>
    </xf>
    <xf numFmtId="0" fontId="5" fillId="0" borderId="0" xfId="0" applyFont="1" applyProtection="1">
      <protection locked="0"/>
    </xf>
    <xf numFmtId="0" fontId="0" fillId="0" borderId="0" xfId="0" applyProtection="1">
      <protection locked="0"/>
    </xf>
    <xf numFmtId="0" fontId="0" fillId="0" borderId="0" xfId="0" applyAlignment="1" applyProtection="1">
      <alignment vertical="center"/>
      <protection locked="0"/>
    </xf>
    <xf numFmtId="0" fontId="13" fillId="4" borderId="0" xfId="0" applyFont="1" applyFill="1" applyAlignment="1" applyProtection="1">
      <alignment horizontal="left" vertical="center"/>
      <protection locked="0"/>
    </xf>
    <xf numFmtId="0" fontId="0" fillId="4" borderId="0" xfId="0" applyFill="1" applyAlignment="1" applyProtection="1">
      <alignment vertical="center"/>
      <protection locked="0"/>
    </xf>
    <xf numFmtId="0" fontId="0" fillId="4" borderId="0" xfId="0" applyFill="1" applyAlignment="1" applyProtection="1">
      <alignment vertical="center" wrapText="1"/>
      <protection locked="0"/>
    </xf>
    <xf numFmtId="14" fontId="8" fillId="4" borderId="0" xfId="0" applyNumberFormat="1" applyFont="1" applyFill="1" applyAlignment="1" applyProtection="1">
      <alignment horizontal="left" vertical="center"/>
      <protection locked="0"/>
    </xf>
    <xf numFmtId="0" fontId="8" fillId="4" borderId="0" xfId="0" applyFont="1" applyFill="1" applyAlignment="1" applyProtection="1">
      <alignment vertical="center"/>
      <protection locked="0"/>
    </xf>
    <xf numFmtId="0" fontId="8" fillId="4" borderId="0" xfId="0" applyFont="1" applyFill="1" applyAlignment="1" applyProtection="1">
      <alignment vertical="center" wrapText="1"/>
      <protection locked="0"/>
    </xf>
    <xf numFmtId="3" fontId="4" fillId="4" borderId="8" xfId="2" applyNumberFormat="1" applyFont="1" applyFill="1" applyBorder="1" applyAlignment="1" applyProtection="1">
      <alignment horizontal="centerContinuous" vertical="center"/>
      <protection locked="0"/>
    </xf>
    <xf numFmtId="4" fontId="4" fillId="4" borderId="8" xfId="2" applyNumberFormat="1" applyFont="1" applyFill="1" applyBorder="1" applyAlignment="1" applyProtection="1">
      <alignment horizontal="centerContinuous" vertical="center"/>
      <protection locked="0"/>
    </xf>
    <xf numFmtId="0" fontId="13" fillId="0" borderId="0" xfId="0" applyFont="1" applyAlignment="1" applyProtection="1">
      <alignment vertical="center"/>
    </xf>
    <xf numFmtId="0" fontId="9" fillId="0" borderId="0" xfId="0" applyFont="1" applyAlignment="1" applyProtection="1">
      <alignment vertical="center"/>
    </xf>
    <xf numFmtId="0" fontId="0" fillId="0" borderId="0" xfId="0" applyAlignment="1" applyProtection="1">
      <alignment vertical="center"/>
    </xf>
    <xf numFmtId="0" fontId="5" fillId="0" borderId="3" xfId="0" applyFont="1" applyBorder="1" applyAlignment="1" applyProtection="1">
      <alignment vertical="center"/>
    </xf>
    <xf numFmtId="0" fontId="5" fillId="0" borderId="4" xfId="0" applyFont="1" applyBorder="1" applyAlignment="1" applyProtection="1">
      <alignment vertical="center"/>
    </xf>
    <xf numFmtId="0" fontId="5" fillId="0" borderId="3" xfId="0" applyFont="1" applyFill="1" applyBorder="1" applyAlignment="1" applyProtection="1">
      <alignment vertical="center"/>
    </xf>
    <xf numFmtId="0" fontId="5" fillId="0" borderId="3" xfId="0" applyFont="1" applyBorder="1" applyAlignment="1" applyProtection="1">
      <alignment vertical="center" wrapText="1"/>
    </xf>
    <xf numFmtId="0" fontId="5" fillId="0" borderId="17" xfId="0" applyFont="1" applyBorder="1" applyAlignment="1" applyProtection="1">
      <alignment vertical="center"/>
    </xf>
    <xf numFmtId="0" fontId="5" fillId="0" borderId="15" xfId="0" applyFont="1" applyBorder="1" applyAlignment="1" applyProtection="1">
      <alignment vertical="center"/>
    </xf>
    <xf numFmtId="0" fontId="20" fillId="0" borderId="4" xfId="0" applyFont="1" applyBorder="1" applyAlignment="1" applyProtection="1">
      <alignment vertical="center"/>
    </xf>
    <xf numFmtId="0" fontId="5" fillId="0" borderId="10" xfId="0" applyFont="1" applyBorder="1" applyAlignment="1" applyProtection="1">
      <alignment vertical="center"/>
    </xf>
    <xf numFmtId="0" fontId="12" fillId="3" borderId="0" xfId="0" applyFont="1" applyFill="1" applyAlignment="1" applyProtection="1">
      <alignment horizontal="right" vertical="center"/>
    </xf>
    <xf numFmtId="0" fontId="12" fillId="3" borderId="0" xfId="0" applyFont="1" applyFill="1" applyAlignment="1" applyProtection="1">
      <alignment horizontal="right" vertical="center" wrapText="1"/>
    </xf>
    <xf numFmtId="0" fontId="0" fillId="0" borderId="0" xfId="0" applyAlignment="1" applyProtection="1">
      <alignment vertical="center" wrapText="1"/>
    </xf>
    <xf numFmtId="0" fontId="8" fillId="0" borderId="0" xfId="0" applyFont="1" applyAlignment="1" applyProtection="1">
      <alignment vertical="center"/>
    </xf>
    <xf numFmtId="0" fontId="8" fillId="0" borderId="0" xfId="0" applyFont="1" applyAlignment="1" applyProtection="1">
      <alignment vertical="center" wrapText="1"/>
    </xf>
    <xf numFmtId="0" fontId="4" fillId="0" borderId="3" xfId="2" applyFont="1" applyBorder="1" applyAlignment="1" applyProtection="1">
      <alignment horizontal="left" vertical="center"/>
    </xf>
    <xf numFmtId="0" fontId="4" fillId="0" borderId="4" xfId="2" applyFont="1" applyBorder="1" applyAlignment="1" applyProtection="1">
      <alignment horizontal="left" vertical="center"/>
    </xf>
    <xf numFmtId="0" fontId="4" fillId="0" borderId="17" xfId="2" quotePrefix="1" applyFont="1" applyBorder="1" applyAlignment="1" applyProtection="1">
      <alignment horizontal="left" vertical="center"/>
    </xf>
    <xf numFmtId="0" fontId="4" fillId="0" borderId="15" xfId="2" applyFont="1" applyBorder="1" applyAlignment="1" applyProtection="1">
      <alignment horizontal="left" vertical="center"/>
    </xf>
    <xf numFmtId="0" fontId="20" fillId="0" borderId="4" xfId="2" applyFont="1" applyBorder="1" applyAlignment="1" applyProtection="1">
      <alignment horizontal="left" vertical="center"/>
    </xf>
    <xf numFmtId="0" fontId="12" fillId="3" borderId="0" xfId="0" applyFont="1" applyFill="1" applyAlignment="1" applyProtection="1">
      <alignment vertical="center"/>
    </xf>
    <xf numFmtId="0" fontId="4" fillId="0" borderId="17" xfId="2" applyFont="1" applyBorder="1" applyAlignment="1">
      <alignment horizontal="left" vertical="center" wrapText="1"/>
    </xf>
    <xf numFmtId="0" fontId="4" fillId="0" borderId="15" xfId="2" applyFont="1" applyBorder="1" applyAlignment="1">
      <alignment horizontal="left" vertical="center" wrapText="1"/>
    </xf>
    <xf numFmtId="0" fontId="4" fillId="0" borderId="2" xfId="2" applyFont="1" applyBorder="1" applyAlignment="1">
      <alignment horizontal="left" vertical="center" wrapText="1"/>
    </xf>
    <xf numFmtId="0" fontId="5" fillId="0" borderId="5" xfId="0" applyFont="1" applyBorder="1" applyAlignment="1" applyProtection="1">
      <alignment vertical="center"/>
    </xf>
    <xf numFmtId="0" fontId="4" fillId="0" borderId="5" xfId="2" applyFont="1" applyBorder="1" applyAlignment="1" applyProtection="1">
      <alignment horizontal="left" vertical="center"/>
    </xf>
    <xf numFmtId="0" fontId="4" fillId="0" borderId="5" xfId="2" applyFont="1" applyBorder="1" applyAlignment="1">
      <alignment horizontal="left" vertical="center" wrapText="1"/>
    </xf>
    <xf numFmtId="0" fontId="23" fillId="0" borderId="0" xfId="0" applyFont="1" applyProtection="1">
      <protection locked="0"/>
    </xf>
    <xf numFmtId="3" fontId="4" fillId="4" borderId="3" xfId="2" applyNumberFormat="1" applyFont="1" applyFill="1" applyBorder="1" applyAlignment="1" applyProtection="1">
      <alignment horizontal="center" vertical="center"/>
      <protection locked="0"/>
    </xf>
    <xf numFmtId="3" fontId="4" fillId="4" borderId="8" xfId="2" applyNumberFormat="1" applyFont="1" applyFill="1" applyBorder="1" applyAlignment="1" applyProtection="1">
      <alignment horizontal="center" vertical="center"/>
      <protection locked="0"/>
    </xf>
    <xf numFmtId="3" fontId="4" fillId="0" borderId="8" xfId="2" applyNumberFormat="1" applyFont="1" applyFill="1" applyBorder="1" applyAlignment="1">
      <alignment horizontal="right" vertical="center"/>
    </xf>
    <xf numFmtId="9" fontId="4" fillId="0" borderId="8" xfId="1" applyNumberFormat="1" applyFont="1" applyFill="1" applyBorder="1" applyAlignment="1">
      <alignment horizontal="right" vertical="center"/>
    </xf>
    <xf numFmtId="9" fontId="4" fillId="0" borderId="8" xfId="1" applyFont="1" applyFill="1" applyBorder="1" applyAlignment="1">
      <alignment horizontal="right" vertical="center"/>
    </xf>
    <xf numFmtId="166" fontId="5" fillId="0" borderId="0" xfId="0" applyNumberFormat="1" applyFont="1"/>
    <xf numFmtId="3" fontId="4" fillId="0" borderId="8" xfId="2" applyNumberFormat="1" applyFont="1" applyFill="1" applyBorder="1" applyAlignment="1">
      <alignment horizontal="right" vertical="center" wrapText="1"/>
    </xf>
    <xf numFmtId="3" fontId="4" fillId="0" borderId="6" xfId="2" applyNumberFormat="1" applyFont="1" applyFill="1" applyBorder="1" applyAlignment="1">
      <alignment horizontal="right" vertical="center" wrapText="1"/>
    </xf>
    <xf numFmtId="0" fontId="14" fillId="5" borderId="11" xfId="0" applyFont="1" applyFill="1" applyBorder="1" applyAlignment="1" applyProtection="1">
      <alignment horizontal="centerContinuous" vertical="center"/>
    </xf>
    <xf numFmtId="0" fontId="14" fillId="5" borderId="12" xfId="0" applyFont="1" applyFill="1" applyBorder="1" applyAlignment="1" applyProtection="1">
      <alignment horizontal="centerContinuous" vertical="center"/>
    </xf>
    <xf numFmtId="0" fontId="14" fillId="5" borderId="13" xfId="0" applyFont="1" applyFill="1" applyBorder="1" applyAlignment="1" applyProtection="1">
      <alignment horizontal="centerContinuous" vertical="center" wrapText="1"/>
    </xf>
    <xf numFmtId="0" fontId="25" fillId="6" borderId="14" xfId="0" applyFont="1" applyFill="1" applyBorder="1" applyAlignment="1" applyProtection="1">
      <alignment horizontal="centerContinuous" vertical="center"/>
      <protection locked="0"/>
    </xf>
    <xf numFmtId="0" fontId="25" fillId="6" borderId="10" xfId="0" applyFont="1" applyFill="1" applyBorder="1" applyAlignment="1" applyProtection="1">
      <alignment vertical="center"/>
    </xf>
    <xf numFmtId="0" fontId="25" fillId="6" borderId="10" xfId="0" applyFont="1" applyFill="1" applyBorder="1" applyAlignment="1">
      <alignment vertical="center" wrapText="1"/>
    </xf>
    <xf numFmtId="0" fontId="24" fillId="6" borderId="2" xfId="0" applyFont="1" applyFill="1" applyBorder="1" applyAlignment="1" applyProtection="1">
      <alignment vertical="center"/>
    </xf>
    <xf numFmtId="0" fontId="25" fillId="6" borderId="9" xfId="2" applyFont="1" applyFill="1" applyBorder="1" applyAlignment="1" applyProtection="1">
      <alignment horizontal="center" vertical="center"/>
    </xf>
    <xf numFmtId="0" fontId="25" fillId="6" borderId="2" xfId="2" applyFont="1" applyFill="1" applyBorder="1" applyAlignment="1" applyProtection="1">
      <alignment horizontal="center" vertical="center"/>
    </xf>
    <xf numFmtId="0" fontId="25" fillId="6" borderId="2" xfId="2" applyFont="1" applyFill="1" applyBorder="1" applyAlignment="1" applyProtection="1">
      <alignment horizontal="left" vertical="center" wrapText="1"/>
    </xf>
    <xf numFmtId="0" fontId="26" fillId="6" borderId="10" xfId="2" applyFont="1" applyFill="1" applyBorder="1" applyAlignment="1" applyProtection="1">
      <alignment horizontal="left" vertical="center"/>
    </xf>
    <xf numFmtId="0" fontId="25" fillId="6" borderId="16" xfId="0" applyFont="1" applyFill="1" applyBorder="1" applyAlignment="1" applyProtection="1">
      <alignment horizontal="centerContinuous" vertical="center"/>
    </xf>
    <xf numFmtId="0" fontId="5" fillId="0" borderId="15" xfId="0" applyFont="1" applyBorder="1" applyAlignment="1" applyProtection="1">
      <alignment vertical="center" wrapText="1"/>
    </xf>
    <xf numFmtId="3" fontId="4" fillId="4" borderId="16" xfId="2" applyNumberFormat="1" applyFont="1" applyFill="1" applyBorder="1" applyAlignment="1" applyProtection="1">
      <alignment horizontal="center" vertical="center"/>
      <protection locked="0"/>
    </xf>
    <xf numFmtId="0" fontId="4" fillId="0" borderId="1" xfId="0" applyFont="1" applyBorder="1" applyAlignment="1" applyProtection="1">
      <alignment horizontal="right"/>
      <protection locked="0"/>
    </xf>
    <xf numFmtId="0" fontId="4" fillId="0" borderId="20" xfId="0" applyFont="1" applyBorder="1" applyAlignment="1" applyProtection="1">
      <alignment horizontal="right"/>
      <protection locked="0"/>
    </xf>
    <xf numFmtId="0" fontId="20" fillId="0" borderId="4" xfId="2" applyFont="1" applyBorder="1" applyAlignment="1">
      <alignment horizontal="left" vertical="center"/>
    </xf>
    <xf numFmtId="0" fontId="4" fillId="0" borderId="2" xfId="2" applyFont="1" applyBorder="1" applyAlignment="1">
      <alignment horizontal="left" vertical="center"/>
    </xf>
    <xf numFmtId="0" fontId="4" fillId="0" borderId="15" xfId="2" applyFont="1" applyFill="1" applyBorder="1" applyAlignment="1">
      <alignment horizontal="left" vertical="center" wrapText="1"/>
    </xf>
    <xf numFmtId="0" fontId="4" fillId="0" borderId="3" xfId="2" quotePrefix="1" applyFont="1" applyFill="1" applyBorder="1" applyAlignment="1">
      <alignment horizontal="left" vertical="center" wrapText="1"/>
    </xf>
    <xf numFmtId="0" fontId="20" fillId="0" borderId="4" xfId="0" applyFont="1" applyBorder="1" applyAlignment="1">
      <alignment vertical="center"/>
    </xf>
    <xf numFmtId="3" fontId="4" fillId="7" borderId="8" xfId="2" applyNumberFormat="1" applyFont="1" applyFill="1" applyBorder="1" applyAlignment="1" applyProtection="1">
      <alignment horizontal="centerContinuous" vertical="center"/>
    </xf>
    <xf numFmtId="9" fontId="4" fillId="7" borderId="18" xfId="1" applyFont="1" applyFill="1" applyBorder="1" applyAlignment="1" applyProtection="1">
      <alignment horizontal="centerContinuous" vertical="center"/>
    </xf>
    <xf numFmtId="3" fontId="4" fillId="7" borderId="9" xfId="2" applyNumberFormat="1" applyFont="1" applyFill="1" applyBorder="1" applyAlignment="1">
      <alignment horizontal="center" vertical="center"/>
    </xf>
    <xf numFmtId="3" fontId="4" fillId="7" borderId="8" xfId="2" applyNumberFormat="1" applyFont="1" applyFill="1" applyBorder="1" applyAlignment="1">
      <alignment horizontal="center" vertical="center"/>
    </xf>
    <xf numFmtId="3" fontId="20" fillId="7" borderId="6" xfId="2" applyNumberFormat="1" applyFont="1" applyFill="1" applyBorder="1" applyAlignment="1">
      <alignment horizontal="center" vertical="center"/>
    </xf>
    <xf numFmtId="3" fontId="4" fillId="7" borderId="16" xfId="2" applyNumberFormat="1" applyFont="1" applyFill="1" applyBorder="1" applyAlignment="1" applyProtection="1">
      <alignment horizontal="centerContinuous" vertical="center"/>
    </xf>
    <xf numFmtId="3" fontId="20" fillId="7" borderId="6" xfId="2" applyNumberFormat="1" applyFont="1" applyFill="1" applyBorder="1" applyAlignment="1" applyProtection="1">
      <alignment horizontal="centerContinuous" vertical="center"/>
    </xf>
    <xf numFmtId="3" fontId="4" fillId="7" borderId="6" xfId="2" applyNumberFormat="1" applyFont="1" applyFill="1" applyBorder="1" applyAlignment="1" applyProtection="1">
      <alignment horizontal="centerContinuous" vertical="center"/>
    </xf>
    <xf numFmtId="3" fontId="4" fillId="7" borderId="19" xfId="2" applyNumberFormat="1" applyFont="1" applyFill="1" applyBorder="1" applyAlignment="1" applyProtection="1">
      <alignment horizontal="centerContinuous" vertical="center"/>
    </xf>
    <xf numFmtId="3" fontId="4" fillId="7" borderId="8" xfId="2" applyNumberFormat="1" applyFont="1" applyFill="1" applyBorder="1" applyAlignment="1">
      <alignment horizontal="right" vertical="center"/>
    </xf>
    <xf numFmtId="3" fontId="19" fillId="7" borderId="8" xfId="2" applyNumberFormat="1" applyFont="1" applyFill="1" applyBorder="1" applyAlignment="1">
      <alignment horizontal="right" vertical="center"/>
    </xf>
    <xf numFmtId="3" fontId="20" fillId="7" borderId="8" xfId="2" applyNumberFormat="1" applyFont="1" applyFill="1" applyBorder="1" applyAlignment="1">
      <alignment horizontal="right" vertical="center"/>
    </xf>
    <xf numFmtId="0" fontId="5" fillId="0" borderId="3" xfId="0" applyFont="1" applyFill="1" applyBorder="1" applyAlignment="1">
      <alignment vertical="center" wrapText="1"/>
    </xf>
    <xf numFmtId="0" fontId="21" fillId="0" borderId="3" xfId="0" applyFont="1" applyBorder="1" applyAlignment="1">
      <alignment vertical="center" wrapText="1"/>
    </xf>
    <xf numFmtId="0" fontId="5" fillId="0" borderId="2" xfId="0" applyFont="1" applyBorder="1" applyAlignment="1">
      <alignment vertical="center" wrapText="1"/>
    </xf>
    <xf numFmtId="167" fontId="5" fillId="0" borderId="20" xfId="0" applyNumberFormat="1" applyFont="1" applyBorder="1"/>
    <xf numFmtId="168" fontId="5" fillId="0" borderId="10" xfId="0" applyNumberFormat="1" applyFont="1" applyBorder="1"/>
    <xf numFmtId="169" fontId="5" fillId="0" borderId="1" xfId="0" applyNumberFormat="1" applyFont="1" applyBorder="1"/>
    <xf numFmtId="170" fontId="5" fillId="0" borderId="1" xfId="0" applyNumberFormat="1" applyFont="1" applyBorder="1"/>
    <xf numFmtId="171" fontId="5" fillId="0" borderId="10" xfId="0" applyNumberFormat="1" applyFont="1" applyBorder="1"/>
    <xf numFmtId="172" fontId="5" fillId="0" borderId="1" xfId="0" applyNumberFormat="1" applyFont="1" applyBorder="1"/>
    <xf numFmtId="173" fontId="5" fillId="0" borderId="10" xfId="0" applyNumberFormat="1" applyFont="1" applyBorder="1"/>
    <xf numFmtId="174" fontId="5" fillId="0" borderId="20" xfId="0" applyNumberFormat="1" applyFont="1" applyBorder="1"/>
    <xf numFmtId="175" fontId="5" fillId="0" borderId="20" xfId="0" applyNumberFormat="1" applyFont="1" applyBorder="1"/>
    <xf numFmtId="176" fontId="5" fillId="0" borderId="1" xfId="0" applyNumberFormat="1" applyFont="1" applyBorder="1"/>
    <xf numFmtId="177" fontId="5" fillId="0" borderId="10" xfId="0" applyNumberFormat="1" applyFont="1" applyBorder="1"/>
    <xf numFmtId="178" fontId="5" fillId="0" borderId="20" xfId="0" applyNumberFormat="1" applyFont="1" applyBorder="1"/>
    <xf numFmtId="179" fontId="5" fillId="0" borderId="1" xfId="0" applyNumberFormat="1" applyFont="1" applyBorder="1"/>
    <xf numFmtId="180" fontId="5" fillId="0" borderId="10" xfId="0" applyNumberFormat="1" applyFont="1" applyBorder="1"/>
    <xf numFmtId="181" fontId="5" fillId="0" borderId="20" xfId="0" applyNumberFormat="1" applyFont="1" applyBorder="1"/>
    <xf numFmtId="182" fontId="5" fillId="0" borderId="1" xfId="0" applyNumberFormat="1" applyFont="1" applyBorder="1"/>
    <xf numFmtId="183" fontId="5" fillId="0" borderId="10" xfId="0" applyNumberFormat="1" applyFont="1" applyBorder="1"/>
    <xf numFmtId="184" fontId="5" fillId="0" borderId="20" xfId="0" applyNumberFormat="1" applyFont="1" applyBorder="1"/>
    <xf numFmtId="185" fontId="5" fillId="0" borderId="1" xfId="0" applyNumberFormat="1" applyFont="1" applyBorder="1"/>
    <xf numFmtId="186" fontId="5" fillId="0" borderId="10" xfId="0" applyNumberFormat="1" applyFont="1" applyBorder="1"/>
    <xf numFmtId="187" fontId="5" fillId="0" borderId="20" xfId="0" applyNumberFormat="1" applyFont="1" applyBorder="1"/>
    <xf numFmtId="4" fontId="4" fillId="4" borderId="3" xfId="2" applyNumberFormat="1" applyFont="1" applyFill="1" applyBorder="1" applyAlignment="1" applyProtection="1">
      <alignment horizontal="right" vertical="center"/>
      <protection locked="0"/>
    </xf>
    <xf numFmtId="3" fontId="4" fillId="4" borderId="3" xfId="2" applyNumberFormat="1" applyFont="1" applyFill="1" applyBorder="1" applyAlignment="1" applyProtection="1">
      <alignment horizontal="right" vertical="center"/>
      <protection locked="0"/>
    </xf>
    <xf numFmtId="165" fontId="4" fillId="4" borderId="3" xfId="2" applyNumberFormat="1" applyFont="1" applyFill="1" applyBorder="1" applyAlignment="1" applyProtection="1">
      <alignment horizontal="right" vertical="center"/>
      <protection locked="0"/>
    </xf>
    <xf numFmtId="165" fontId="4" fillId="4" borderId="3" xfId="2" applyNumberFormat="1" applyFont="1" applyFill="1" applyBorder="1" applyAlignment="1" applyProtection="1">
      <alignment horizontal="right" vertical="center" wrapText="1"/>
      <protection locked="0"/>
    </xf>
    <xf numFmtId="165" fontId="4" fillId="4" borderId="8" xfId="2" applyNumberFormat="1" applyFont="1" applyFill="1" applyBorder="1" applyAlignment="1" applyProtection="1">
      <alignment horizontal="right" vertical="center"/>
      <protection locked="0"/>
    </xf>
    <xf numFmtId="4" fontId="4" fillId="4" borderId="8" xfId="2" applyNumberFormat="1" applyFont="1" applyFill="1" applyBorder="1" applyAlignment="1" applyProtection="1">
      <alignment horizontal="right" vertical="center"/>
      <protection locked="0"/>
    </xf>
    <xf numFmtId="0" fontId="0" fillId="8" borderId="0" xfId="0" applyFill="1"/>
    <xf numFmtId="0" fontId="0" fillId="8" borderId="0" xfId="0" applyFont="1" applyFill="1" applyAlignment="1" applyProtection="1">
      <alignment vertical="center"/>
    </xf>
    <xf numFmtId="3" fontId="4" fillId="0" borderId="3" xfId="2" applyNumberFormat="1" applyFont="1" applyFill="1" applyBorder="1" applyAlignment="1" applyProtection="1">
      <alignment horizontal="right" vertical="center"/>
    </xf>
    <xf numFmtId="0" fontId="31" fillId="0" borderId="0" xfId="0" applyFont="1" applyProtection="1"/>
    <xf numFmtId="0" fontId="0" fillId="0" borderId="0" xfId="0" applyProtection="1"/>
    <xf numFmtId="0" fontId="32" fillId="0" borderId="0" xfId="0" applyFont="1" applyAlignment="1" applyProtection="1">
      <alignment vertical="center"/>
    </xf>
    <xf numFmtId="0" fontId="5" fillId="0" borderId="0" xfId="0" applyFont="1" applyAlignment="1" applyProtection="1">
      <alignment vertical="center"/>
    </xf>
    <xf numFmtId="0" fontId="0" fillId="8" borderId="0" xfId="0" applyFont="1" applyFill="1" applyAlignment="1" applyProtection="1">
      <alignment vertical="top" wrapText="1"/>
    </xf>
    <xf numFmtId="0" fontId="0" fillId="8" borderId="0" xfId="0" applyFill="1" applyAlignment="1" applyProtection="1">
      <alignment wrapText="1"/>
    </xf>
    <xf numFmtId="0" fontId="0" fillId="8" borderId="0" xfId="0" applyFont="1" applyFill="1" applyAlignment="1" applyProtection="1">
      <alignment vertical="center"/>
    </xf>
    <xf numFmtId="0" fontId="0" fillId="8" borderId="0" xfId="0" applyFill="1" applyAlignment="1"/>
    <xf numFmtId="0" fontId="5" fillId="0" borderId="0" xfId="0" applyFont="1" applyAlignment="1" applyProtection="1">
      <alignment vertical="center" wrapText="1"/>
    </xf>
  </cellXfs>
  <cellStyles count="5">
    <cellStyle name="Followed Hyperlink" xfId="4" builtinId="9" hidden="1"/>
    <cellStyle name="Hyperlink" xfId="3" builtinId="8" hidden="1"/>
    <cellStyle name="Normal" xfId="0" builtinId="0"/>
    <cellStyle name="Percent" xfId="1" builtinId="5"/>
    <cellStyle name="Standard_Variante I-30mg" xfI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emf"/></Relationships>
</file>

<file path=xl/drawings/_rels/drawing3.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emf"/><Relationship Id="rId4" Type="http://schemas.openxmlformats.org/officeDocument/2006/relationships/image" Target="../media/image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4.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1</xdr:col>
      <xdr:colOff>2000250</xdr:colOff>
      <xdr:row>0</xdr:row>
      <xdr:rowOff>19050</xdr:rowOff>
    </xdr:from>
    <xdr:to>
      <xdr:col>1</xdr:col>
      <xdr:colOff>3600450</xdr:colOff>
      <xdr:row>4</xdr:row>
      <xdr:rowOff>178765</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76475" y="19050"/>
          <a:ext cx="1600200" cy="92171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95250</xdr:colOff>
      <xdr:row>0</xdr:row>
      <xdr:rowOff>123825</xdr:rowOff>
    </xdr:from>
    <xdr:to>
      <xdr:col>1</xdr:col>
      <xdr:colOff>1552575</xdr:colOff>
      <xdr:row>4</xdr:row>
      <xdr:rowOff>79503</xdr:rowOff>
    </xdr:to>
    <xdr:pic>
      <xdr:nvPicPr>
        <xdr:cNvPr id="5" name="Picture 4"/>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71475" y="123825"/>
          <a:ext cx="1457325" cy="717678"/>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2</xdr:col>
          <xdr:colOff>685800</xdr:colOff>
          <xdr:row>0</xdr:row>
          <xdr:rowOff>76199</xdr:rowOff>
        </xdr:from>
        <xdr:to>
          <xdr:col>2</xdr:col>
          <xdr:colOff>1809750</xdr:colOff>
          <xdr:row>4</xdr:row>
          <xdr:rowOff>157162</xdr:rowOff>
        </xdr:to>
        <xdr:sp macro="" textlink="">
          <xdr:nvSpPr>
            <xdr:cNvPr id="1026" name="Object 2" hidden="1">
              <a:extLst>
                <a:ext uri="{63B3BB69-23CF-44E3-9099-C40C66FF867C}">
                  <a14:compatExt spid="_x0000_s1026"/>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66675</xdr:colOff>
          <xdr:row>1</xdr:row>
          <xdr:rowOff>28575</xdr:rowOff>
        </xdr:from>
        <xdr:to>
          <xdr:col>5</xdr:col>
          <xdr:colOff>1311275</xdr:colOff>
          <xdr:row>5</xdr:row>
          <xdr:rowOff>161925</xdr:rowOff>
        </xdr:to>
        <xdr:sp macro="" textlink="">
          <xdr:nvSpPr>
            <xdr:cNvPr id="3074" name="Object 2" hidden="1">
              <a:extLst>
                <a:ext uri="{63B3BB69-23CF-44E3-9099-C40C66FF867C}">
                  <a14:compatExt spid="_x0000_s3074"/>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5</xdr:col>
      <xdr:colOff>28576</xdr:colOff>
      <xdr:row>53</xdr:row>
      <xdr:rowOff>85725</xdr:rowOff>
    </xdr:from>
    <xdr:to>
      <xdr:col>5</xdr:col>
      <xdr:colOff>790576</xdr:colOff>
      <xdr:row>53</xdr:row>
      <xdr:rowOff>390525</xdr:rowOff>
    </xdr:to>
    <xdr:sp macro="" textlink="">
      <xdr:nvSpPr>
        <xdr:cNvPr id="4" name="Pfeil nach rechts 3"/>
        <xdr:cNvSpPr/>
      </xdr:nvSpPr>
      <xdr:spPr>
        <a:xfrm>
          <a:off x="7705726" y="11753850"/>
          <a:ext cx="762000" cy="3048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5</xdr:col>
      <xdr:colOff>0</xdr:colOff>
      <xdr:row>109</xdr:row>
      <xdr:rowOff>0</xdr:rowOff>
    </xdr:from>
    <xdr:to>
      <xdr:col>5</xdr:col>
      <xdr:colOff>752475</xdr:colOff>
      <xdr:row>109</xdr:row>
      <xdr:rowOff>304800</xdr:rowOff>
    </xdr:to>
    <xdr:sp macro="" textlink="">
      <xdr:nvSpPr>
        <xdr:cNvPr id="11" name="Pfeil nach rechts 10"/>
        <xdr:cNvSpPr/>
      </xdr:nvSpPr>
      <xdr:spPr>
        <a:xfrm>
          <a:off x="7677150" y="22955250"/>
          <a:ext cx="752475" cy="3048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5</xdr:col>
      <xdr:colOff>0</xdr:colOff>
      <xdr:row>386</xdr:row>
      <xdr:rowOff>0</xdr:rowOff>
    </xdr:from>
    <xdr:to>
      <xdr:col>5</xdr:col>
      <xdr:colOff>752475</xdr:colOff>
      <xdr:row>387</xdr:row>
      <xdr:rowOff>19050</xdr:rowOff>
    </xdr:to>
    <xdr:sp macro="" textlink="">
      <xdr:nvSpPr>
        <xdr:cNvPr id="13" name="Pfeil nach rechts 12"/>
        <xdr:cNvSpPr/>
      </xdr:nvSpPr>
      <xdr:spPr>
        <a:xfrm>
          <a:off x="7677150" y="77943075"/>
          <a:ext cx="752475" cy="3048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5</xdr:col>
      <xdr:colOff>19050</xdr:colOff>
      <xdr:row>113</xdr:row>
      <xdr:rowOff>28575</xdr:rowOff>
    </xdr:from>
    <xdr:to>
      <xdr:col>5</xdr:col>
      <xdr:colOff>771525</xdr:colOff>
      <xdr:row>114</xdr:row>
      <xdr:rowOff>47625</xdr:rowOff>
    </xdr:to>
    <xdr:sp macro="" textlink="">
      <xdr:nvSpPr>
        <xdr:cNvPr id="19" name="Pfeil nach rechts 18"/>
        <xdr:cNvSpPr/>
      </xdr:nvSpPr>
      <xdr:spPr>
        <a:xfrm>
          <a:off x="7696200" y="23983950"/>
          <a:ext cx="752475" cy="3048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oneCell">
    <xdr:from>
      <xdr:col>6</xdr:col>
      <xdr:colOff>66675</xdr:colOff>
      <xdr:row>113</xdr:row>
      <xdr:rowOff>85725</xdr:rowOff>
    </xdr:from>
    <xdr:to>
      <xdr:col>12</xdr:col>
      <xdr:colOff>219075</xdr:colOff>
      <xdr:row>133</xdr:row>
      <xdr:rowOff>28575</xdr:rowOff>
    </xdr:to>
    <xdr:pic>
      <xdr:nvPicPr>
        <xdr:cNvPr id="14" name="Picture 1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486900" y="23879175"/>
          <a:ext cx="6886575" cy="5295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53</xdr:row>
      <xdr:rowOff>0</xdr:rowOff>
    </xdr:from>
    <xdr:to>
      <xdr:col>9</xdr:col>
      <xdr:colOff>75449</xdr:colOff>
      <xdr:row>66</xdr:row>
      <xdr:rowOff>41006</xdr:rowOff>
    </xdr:to>
    <xdr:pic>
      <xdr:nvPicPr>
        <xdr:cNvPr id="2" name="Grafik 1"/>
        <xdr:cNvPicPr>
          <a:picLocks noChangeAspect="1"/>
        </xdr:cNvPicPr>
      </xdr:nvPicPr>
      <xdr:blipFill>
        <a:blip xmlns:r="http://schemas.openxmlformats.org/officeDocument/2006/relationships" r:embed="rId2"/>
        <a:stretch>
          <a:fillRect/>
        </a:stretch>
      </xdr:blipFill>
      <xdr:spPr>
        <a:xfrm>
          <a:off x="9601200" y="11849100"/>
          <a:ext cx="4523624" cy="2755631"/>
        </a:xfrm>
        <a:prstGeom prst="rect">
          <a:avLst/>
        </a:prstGeom>
      </xdr:spPr>
    </xdr:pic>
    <xdr:clientData/>
  </xdr:twoCellAnchor>
  <xdr:twoCellAnchor editAs="oneCell">
    <xdr:from>
      <xdr:col>6</xdr:col>
      <xdr:colOff>19050</xdr:colOff>
      <xdr:row>96</xdr:row>
      <xdr:rowOff>104775</xdr:rowOff>
    </xdr:from>
    <xdr:to>
      <xdr:col>11</xdr:col>
      <xdr:colOff>314106</xdr:colOff>
      <xdr:row>109</xdr:row>
      <xdr:rowOff>282559</xdr:rowOff>
    </xdr:to>
    <xdr:pic>
      <xdr:nvPicPr>
        <xdr:cNvPr id="5" name="Grafik 4"/>
        <xdr:cNvPicPr>
          <a:picLocks noChangeAspect="1"/>
        </xdr:cNvPicPr>
      </xdr:nvPicPr>
      <xdr:blipFill>
        <a:blip xmlns:r="http://schemas.openxmlformats.org/officeDocument/2006/relationships" r:embed="rId3"/>
        <a:stretch>
          <a:fillRect/>
        </a:stretch>
      </xdr:blipFill>
      <xdr:spPr>
        <a:xfrm>
          <a:off x="9620250" y="20669250"/>
          <a:ext cx="6267231" cy="2749534"/>
        </a:xfrm>
        <a:prstGeom prst="rect">
          <a:avLst/>
        </a:prstGeom>
      </xdr:spPr>
    </xdr:pic>
    <xdr:clientData/>
  </xdr:twoCellAnchor>
  <xdr:twoCellAnchor editAs="oneCell">
    <xdr:from>
      <xdr:col>6</xdr:col>
      <xdr:colOff>0</xdr:colOff>
      <xdr:row>386</xdr:row>
      <xdr:rowOff>0</xdr:rowOff>
    </xdr:from>
    <xdr:to>
      <xdr:col>9</xdr:col>
      <xdr:colOff>270538</xdr:colOff>
      <xdr:row>401</xdr:row>
      <xdr:rowOff>46008</xdr:rowOff>
    </xdr:to>
    <xdr:pic>
      <xdr:nvPicPr>
        <xdr:cNvPr id="6" name="Grafik 5"/>
        <xdr:cNvPicPr>
          <a:picLocks noChangeAspect="1"/>
        </xdr:cNvPicPr>
      </xdr:nvPicPr>
      <xdr:blipFill>
        <a:blip xmlns:r="http://schemas.openxmlformats.org/officeDocument/2006/relationships" r:embed="rId4"/>
        <a:stretch>
          <a:fillRect/>
        </a:stretch>
      </xdr:blipFill>
      <xdr:spPr>
        <a:xfrm>
          <a:off x="9601200" y="83172300"/>
          <a:ext cx="4718713" cy="3322608"/>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5</xdr:col>
          <xdr:colOff>76200</xdr:colOff>
          <xdr:row>1</xdr:row>
          <xdr:rowOff>19049</xdr:rowOff>
        </xdr:from>
        <xdr:to>
          <xdr:col>5</xdr:col>
          <xdr:colOff>1352550</xdr:colOff>
          <xdr:row>5</xdr:row>
          <xdr:rowOff>176212</xdr:rowOff>
        </xdr:to>
        <xdr:sp macro="" textlink="">
          <xdr:nvSpPr>
            <xdr:cNvPr id="2051" name="Object 3" hidden="1">
              <a:extLst>
                <a:ext uri="{63B3BB69-23CF-44E3-9099-C40C66FF867C}">
                  <a14:compatExt spid="_x0000_s205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image" Target="../media/image4.emf"/><Relationship Id="rId4" Type="http://schemas.openxmlformats.org/officeDocument/2006/relationships/oleObject" Target="../embeddings/oleObject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5" Type="http://schemas.openxmlformats.org/officeDocument/2006/relationships/image" Target="../media/image1.emf"/><Relationship Id="rId4" Type="http://schemas.openxmlformats.org/officeDocument/2006/relationships/oleObject" Target="../embeddings/oleObject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B3:D32"/>
  <sheetViews>
    <sheetView tabSelected="1" workbookViewId="0">
      <selection activeCell="F11" sqref="F11"/>
    </sheetView>
  </sheetViews>
  <sheetFormatPr defaultColWidth="11.42578125" defaultRowHeight="15" x14ac:dyDescent="0.25"/>
  <cols>
    <col min="1" max="1" width="4.140625" style="165" customWidth="1"/>
    <col min="2" max="2" width="90.140625" style="165" customWidth="1"/>
    <col min="3" max="3" width="28.140625" style="165" customWidth="1"/>
    <col min="4" max="16384" width="11.42578125" style="165"/>
  </cols>
  <sheetData>
    <row r="3" spans="2:4" x14ac:dyDescent="0.25">
      <c r="D3" s="165" t="s">
        <v>893</v>
      </c>
    </row>
    <row r="6" spans="2:4" ht="15.75" x14ac:dyDescent="0.25">
      <c r="B6" s="18" t="s">
        <v>892</v>
      </c>
      <c r="C6" s="77" t="s">
        <v>956</v>
      </c>
    </row>
    <row r="7" spans="2:4" ht="15.75" x14ac:dyDescent="0.25">
      <c r="B7" s="18" t="s">
        <v>872</v>
      </c>
      <c r="C7" s="77"/>
    </row>
    <row r="8" spans="2:4" x14ac:dyDescent="0.25">
      <c r="B8" s="174"/>
      <c r="C8" s="175"/>
    </row>
    <row r="9" spans="2:4" ht="23.1" customHeight="1" x14ac:dyDescent="0.25">
      <c r="B9" s="172" t="s">
        <v>955</v>
      </c>
      <c r="C9" s="173"/>
    </row>
    <row r="10" spans="2:4" ht="23.1" customHeight="1" x14ac:dyDescent="0.25">
      <c r="B10" s="172"/>
      <c r="C10" s="173"/>
    </row>
    <row r="11" spans="2:4" ht="23.1" customHeight="1" x14ac:dyDescent="0.25">
      <c r="B11" s="172"/>
      <c r="C11" s="173"/>
    </row>
    <row r="12" spans="2:4" ht="23.1" customHeight="1" x14ac:dyDescent="0.25">
      <c r="B12" s="172"/>
      <c r="C12" s="173"/>
    </row>
    <row r="13" spans="2:4" ht="23.1" customHeight="1" x14ac:dyDescent="0.25">
      <c r="B13" s="172"/>
      <c r="C13" s="173"/>
    </row>
    <row r="14" spans="2:4" ht="23.1" customHeight="1" x14ac:dyDescent="0.25">
      <c r="B14" s="172"/>
      <c r="C14" s="173"/>
    </row>
    <row r="15" spans="2:4" ht="23.1" customHeight="1" x14ac:dyDescent="0.25">
      <c r="B15" s="172"/>
      <c r="C15" s="173"/>
    </row>
    <row r="16" spans="2:4" ht="23.1" customHeight="1" x14ac:dyDescent="0.25">
      <c r="B16" s="172"/>
      <c r="C16" s="173"/>
    </row>
    <row r="17" spans="2:3" ht="23.1" customHeight="1" x14ac:dyDescent="0.25">
      <c r="B17" s="172"/>
      <c r="C17" s="173"/>
    </row>
    <row r="18" spans="2:3" ht="23.1" customHeight="1" x14ac:dyDescent="0.25">
      <c r="B18" s="172"/>
      <c r="C18" s="173"/>
    </row>
    <row r="19" spans="2:3" ht="23.1" customHeight="1" x14ac:dyDescent="0.25">
      <c r="B19" s="172"/>
      <c r="C19" s="173"/>
    </row>
    <row r="20" spans="2:3" ht="23.1" customHeight="1" x14ac:dyDescent="0.25">
      <c r="B20" s="172"/>
      <c r="C20" s="173"/>
    </row>
    <row r="21" spans="2:3" ht="23.1" customHeight="1" x14ac:dyDescent="0.25">
      <c r="B21" s="172"/>
      <c r="C21" s="173"/>
    </row>
    <row r="22" spans="2:3" ht="23.1" customHeight="1" x14ac:dyDescent="0.25">
      <c r="B22" s="172"/>
      <c r="C22" s="173"/>
    </row>
    <row r="23" spans="2:3" ht="23.1" customHeight="1" x14ac:dyDescent="0.25">
      <c r="B23" s="172"/>
      <c r="C23" s="173"/>
    </row>
    <row r="24" spans="2:3" ht="23.1" customHeight="1" x14ac:dyDescent="0.25">
      <c r="B24" s="172"/>
      <c r="C24" s="173"/>
    </row>
    <row r="25" spans="2:3" ht="23.1" customHeight="1" x14ac:dyDescent="0.25">
      <c r="B25" s="172"/>
      <c r="C25" s="173"/>
    </row>
    <row r="26" spans="2:3" ht="23.1" customHeight="1" x14ac:dyDescent="0.25">
      <c r="B26" s="172"/>
      <c r="C26" s="173"/>
    </row>
    <row r="27" spans="2:3" ht="23.1" customHeight="1" x14ac:dyDescent="0.25">
      <c r="B27" s="172"/>
      <c r="C27" s="173"/>
    </row>
    <row r="28" spans="2:3" ht="23.1" customHeight="1" x14ac:dyDescent="0.25">
      <c r="B28" s="172"/>
      <c r="C28" s="173"/>
    </row>
    <row r="29" spans="2:3" ht="23.1" customHeight="1" x14ac:dyDescent="0.25">
      <c r="B29" s="172"/>
      <c r="C29" s="173"/>
    </row>
    <row r="30" spans="2:3" ht="84.75" customHeight="1" x14ac:dyDescent="0.25">
      <c r="B30" s="172"/>
      <c r="C30" s="173"/>
    </row>
    <row r="31" spans="2:3" x14ac:dyDescent="0.25">
      <c r="B31" s="166"/>
    </row>
    <row r="32" spans="2:3" x14ac:dyDescent="0.25">
      <c r="B32" s="166"/>
    </row>
  </sheetData>
  <sheetProtection algorithmName="SHA-512" hashValue="VR0prmsrglvHkzEQgOTKlsGj/TeSO60AJvue2WU/6b7NcKlmafXVvFz6HcyRAq2jWbz9VlOTmlo5Kya5nFw28g==" saltValue="e5nN/XL3Uu478mTmJUN/xg==" spinCount="100000" sheet="1" objects="1" scenarios="1" selectLockedCells="1"/>
  <mergeCells count="2">
    <mergeCell ref="B9:C30"/>
    <mergeCell ref="B8:C8"/>
  </mergeCells>
  <pageMargins left="0.7" right="0.7" top="0.78740157499999996" bottom="0.78740157499999996" header="0.3" footer="0.3"/>
  <pageSetup paperSize="9" orientation="portrait" r:id="rId1"/>
  <drawing r:id="rId2"/>
  <legacyDrawing r:id="rId3"/>
  <oleObjects>
    <mc:AlternateContent xmlns:mc="http://schemas.openxmlformats.org/markup-compatibility/2006">
      <mc:Choice Requires="x14">
        <oleObject progId="AcroExch.Document.DC" dvAspect="DVASPECT_ICON" shapeId="1026" r:id="rId4">
          <objectPr locked="0" defaultSize="0" autoPict="0" r:id="rId5">
            <anchor moveWithCells="1">
              <from>
                <xdr:col>2</xdr:col>
                <xdr:colOff>685800</xdr:colOff>
                <xdr:row>0</xdr:row>
                <xdr:rowOff>76200</xdr:rowOff>
              </from>
              <to>
                <xdr:col>2</xdr:col>
                <xdr:colOff>1809750</xdr:colOff>
                <xdr:row>4</xdr:row>
                <xdr:rowOff>152400</xdr:rowOff>
              </to>
            </anchor>
          </objectPr>
        </oleObject>
      </mc:Choice>
      <mc:Fallback>
        <oleObject progId="AcroExch.Document.DC" dvAspect="DVASPECT_ICON" shapeId="1026" r:id="rId4"/>
      </mc:Fallback>
    </mc:AlternateContent>
  </oleObjects>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2:O77"/>
  <sheetViews>
    <sheetView zoomScaleNormal="100" zoomScaleSheetLayoutView="100" workbookViewId="0">
      <selection activeCell="F11" sqref="F11"/>
    </sheetView>
  </sheetViews>
  <sheetFormatPr defaultColWidth="11.42578125" defaultRowHeight="15" x14ac:dyDescent="0.25"/>
  <cols>
    <col min="1" max="1" width="3" style="54" customWidth="1"/>
    <col min="2" max="2" width="38.28515625" style="67" customWidth="1"/>
    <col min="3" max="3" width="22.28515625" style="56" customWidth="1"/>
    <col min="4" max="4" width="16.5703125" style="67" customWidth="1"/>
    <col min="5" max="5" width="49.42578125" style="78" customWidth="1"/>
    <col min="6" max="6" width="21" style="54" customWidth="1"/>
    <col min="7" max="7" width="26.28515625" style="93" customWidth="1"/>
    <col min="8" max="8" width="11.42578125" style="54"/>
    <col min="9" max="14" width="11.42578125" style="55"/>
    <col min="15" max="15" width="26.140625" style="55" hidden="1" customWidth="1"/>
    <col min="16" max="16" width="11.42578125" style="55" customWidth="1"/>
    <col min="17" max="16384" width="11.42578125" style="55"/>
  </cols>
  <sheetData>
    <row r="2" spans="2:15" ht="15.75" x14ac:dyDescent="0.25">
      <c r="B2" s="18" t="s">
        <v>870</v>
      </c>
      <c r="C2" s="86"/>
      <c r="D2" s="76"/>
      <c r="E2" s="77" t="s">
        <v>956</v>
      </c>
    </row>
    <row r="3" spans="2:15" ht="15.75" x14ac:dyDescent="0.25">
      <c r="B3" s="18" t="s">
        <v>872</v>
      </c>
      <c r="C3" s="86"/>
      <c r="D3" s="76"/>
      <c r="E3" s="77"/>
    </row>
    <row r="4" spans="2:15" ht="15.75" x14ac:dyDescent="0.25">
      <c r="B4" s="65"/>
      <c r="C4" s="67"/>
      <c r="G4" s="168" t="s">
        <v>893</v>
      </c>
    </row>
    <row r="5" spans="2:15" ht="15.75" x14ac:dyDescent="0.25">
      <c r="B5" s="65" t="s">
        <v>26</v>
      </c>
      <c r="C5" s="57" t="s">
        <v>106</v>
      </c>
      <c r="D5" s="58"/>
      <c r="E5" s="59"/>
    </row>
    <row r="6" spans="2:15" x14ac:dyDescent="0.25">
      <c r="B6" s="66" t="s">
        <v>27</v>
      </c>
      <c r="C6" s="60" t="s">
        <v>107</v>
      </c>
      <c r="D6" s="61"/>
      <c r="E6" s="62"/>
    </row>
    <row r="7" spans="2:15" ht="15.75" thickBot="1" x14ac:dyDescent="0.3">
      <c r="C7" s="79"/>
      <c r="D7" s="79"/>
      <c r="E7" s="80"/>
    </row>
    <row r="8" spans="2:15" ht="16.5" thickBot="1" x14ac:dyDescent="0.3">
      <c r="B8" s="102" t="s">
        <v>187</v>
      </c>
      <c r="C8" s="103"/>
      <c r="D8" s="103"/>
      <c r="E8" s="104"/>
    </row>
    <row r="9" spans="2:15" x14ac:dyDescent="0.25">
      <c r="B9" s="108" t="s">
        <v>189</v>
      </c>
      <c r="C9" s="109" t="s">
        <v>186</v>
      </c>
      <c r="D9" s="110" t="s">
        <v>19</v>
      </c>
      <c r="E9" s="111" t="s">
        <v>28</v>
      </c>
    </row>
    <row r="10" spans="2:15" ht="90" x14ac:dyDescent="0.25">
      <c r="B10" s="68" t="s">
        <v>37</v>
      </c>
      <c r="C10" s="94">
        <v>40000</v>
      </c>
      <c r="D10" s="81" t="s">
        <v>188</v>
      </c>
      <c r="E10" s="37" t="s">
        <v>231</v>
      </c>
      <c r="O10" s="156">
        <v>1000</v>
      </c>
    </row>
    <row r="11" spans="2:15" ht="24" x14ac:dyDescent="0.25">
      <c r="B11" s="68" t="s">
        <v>38</v>
      </c>
      <c r="C11" s="94">
        <v>120</v>
      </c>
      <c r="D11" s="81" t="s">
        <v>0</v>
      </c>
      <c r="E11" s="37" t="s">
        <v>191</v>
      </c>
      <c r="O11" s="157">
        <v>565</v>
      </c>
    </row>
    <row r="12" spans="2:15" x14ac:dyDescent="0.25">
      <c r="B12" s="108" t="s">
        <v>190</v>
      </c>
      <c r="C12" s="109" t="s">
        <v>246</v>
      </c>
      <c r="D12" s="110" t="s">
        <v>247</v>
      </c>
      <c r="E12" s="111" t="s">
        <v>248</v>
      </c>
      <c r="O12" s="158">
        <v>100</v>
      </c>
    </row>
    <row r="13" spans="2:15" ht="22.5" x14ac:dyDescent="0.25">
      <c r="B13" s="71" t="s">
        <v>219</v>
      </c>
      <c r="C13" s="95">
        <v>565</v>
      </c>
      <c r="D13" s="81" t="s">
        <v>192</v>
      </c>
      <c r="E13" s="37" t="s">
        <v>908</v>
      </c>
      <c r="O13" s="93"/>
    </row>
    <row r="14" spans="2:15" x14ac:dyDescent="0.25">
      <c r="B14" s="114" t="s">
        <v>236</v>
      </c>
      <c r="C14" s="115" t="s">
        <v>130</v>
      </c>
      <c r="D14" s="84"/>
      <c r="E14" s="120" t="s">
        <v>232</v>
      </c>
      <c r="O14" s="116" t="s">
        <v>131</v>
      </c>
    </row>
    <row r="15" spans="2:15" ht="22.5" x14ac:dyDescent="0.25">
      <c r="B15" s="114" t="s">
        <v>237</v>
      </c>
      <c r="C15" s="115" t="s">
        <v>249</v>
      </c>
      <c r="D15" s="84"/>
      <c r="E15" s="120" t="s">
        <v>250</v>
      </c>
      <c r="O15" s="117" t="s">
        <v>251</v>
      </c>
    </row>
    <row r="16" spans="2:15" x14ac:dyDescent="0.25">
      <c r="B16" s="108" t="s">
        <v>193</v>
      </c>
      <c r="C16" s="109" t="s">
        <v>252</v>
      </c>
      <c r="D16" s="110" t="s">
        <v>253</v>
      </c>
      <c r="E16" s="111" t="s">
        <v>254</v>
      </c>
    </row>
    <row r="17" spans="2:5" ht="22.5" x14ac:dyDescent="0.25">
      <c r="B17" s="68" t="s">
        <v>14</v>
      </c>
      <c r="C17" s="64">
        <v>0.15</v>
      </c>
      <c r="D17" s="81" t="s">
        <v>114</v>
      </c>
      <c r="E17" s="37" t="s">
        <v>245</v>
      </c>
    </row>
    <row r="18" spans="2:5" ht="22.5" x14ac:dyDescent="0.25">
      <c r="B18" s="68" t="s">
        <v>118</v>
      </c>
      <c r="C18" s="64">
        <v>10</v>
      </c>
      <c r="D18" s="81" t="s">
        <v>119</v>
      </c>
      <c r="E18" s="37" t="s">
        <v>194</v>
      </c>
    </row>
    <row r="19" spans="2:5" ht="22.5" x14ac:dyDescent="0.25">
      <c r="B19" s="70" t="s">
        <v>238</v>
      </c>
      <c r="C19" s="63">
        <v>10000</v>
      </c>
      <c r="D19" s="81" t="s">
        <v>120</v>
      </c>
      <c r="E19" s="37" t="s">
        <v>239</v>
      </c>
    </row>
    <row r="20" spans="2:5" ht="15.75" thickBot="1" x14ac:dyDescent="0.3">
      <c r="C20" s="67"/>
      <c r="E20" s="30"/>
    </row>
    <row r="21" spans="2:5" ht="16.5" thickBot="1" x14ac:dyDescent="0.3">
      <c r="B21" s="102" t="s">
        <v>235</v>
      </c>
      <c r="C21" s="103"/>
      <c r="D21" s="103"/>
      <c r="E21" s="104"/>
    </row>
    <row r="22" spans="2:5" x14ac:dyDescent="0.25">
      <c r="B22" s="112" t="s">
        <v>176</v>
      </c>
      <c r="C22" s="105" t="s">
        <v>212</v>
      </c>
      <c r="D22" s="106" t="s">
        <v>255</v>
      </c>
      <c r="E22" s="107" t="s">
        <v>256</v>
      </c>
    </row>
    <row r="23" spans="2:5" x14ac:dyDescent="0.25">
      <c r="B23" s="68" t="s">
        <v>153</v>
      </c>
      <c r="C23" s="123">
        <f>'Módulo avanzado'!C100</f>
        <v>567648</v>
      </c>
      <c r="D23" s="81" t="s">
        <v>17</v>
      </c>
      <c r="E23" s="2"/>
    </row>
    <row r="24" spans="2:5" x14ac:dyDescent="0.25">
      <c r="B24" s="68" t="s">
        <v>109</v>
      </c>
      <c r="C24" s="123">
        <f>'Módulo avanzado'!C113</f>
        <v>1106913.5999999999</v>
      </c>
      <c r="D24" s="81" t="s">
        <v>2</v>
      </c>
      <c r="E24" s="2"/>
    </row>
    <row r="25" spans="2:5" x14ac:dyDescent="0.25">
      <c r="B25" s="72" t="s">
        <v>204</v>
      </c>
      <c r="C25" s="124" t="str">
        <f>'Módulo avanzado'!C45</f>
        <v>NO</v>
      </c>
      <c r="D25" s="83" t="s">
        <v>32</v>
      </c>
      <c r="E25" s="87"/>
    </row>
    <row r="26" spans="2:5" x14ac:dyDescent="0.25">
      <c r="B26" s="72" t="s">
        <v>178</v>
      </c>
      <c r="C26" s="124" t="str">
        <f>'Módulo avanzado'!C51</f>
        <v>NO</v>
      </c>
      <c r="D26" s="83" t="s">
        <v>257</v>
      </c>
      <c r="E26" s="87"/>
    </row>
    <row r="27" spans="2:5" ht="22.5" x14ac:dyDescent="0.25">
      <c r="B27" s="137" t="s">
        <v>217</v>
      </c>
      <c r="C27" s="125">
        <f>'Módulo avanzado'!C125</f>
        <v>-625.40618399999983</v>
      </c>
      <c r="D27" s="119" t="s">
        <v>221</v>
      </c>
      <c r="E27" s="89"/>
    </row>
    <row r="28" spans="2:5" ht="22.5" x14ac:dyDescent="0.25">
      <c r="B28" s="38" t="s">
        <v>241</v>
      </c>
      <c r="C28" s="126">
        <f>'Módulo avanzado'!C126</f>
        <v>0</v>
      </c>
      <c r="D28" s="4" t="s">
        <v>258</v>
      </c>
      <c r="E28" s="2"/>
    </row>
    <row r="29" spans="2:5" x14ac:dyDescent="0.25">
      <c r="B29" s="122" t="s">
        <v>220</v>
      </c>
      <c r="C29" s="127">
        <f>'Módulo avanzado'!C127</f>
        <v>-625.40618399999983</v>
      </c>
      <c r="D29" s="118" t="s">
        <v>222</v>
      </c>
      <c r="E29" s="35"/>
    </row>
    <row r="30" spans="2:5" x14ac:dyDescent="0.25">
      <c r="B30" s="73" t="s">
        <v>115</v>
      </c>
      <c r="C30" s="128">
        <f>'Módulo avanzado'!C131</f>
        <v>-166037.03999999998</v>
      </c>
      <c r="D30" s="84" t="s">
        <v>117</v>
      </c>
      <c r="E30" s="88"/>
    </row>
    <row r="31" spans="2:5" ht="22.5" x14ac:dyDescent="0.25">
      <c r="B31" s="71" t="s">
        <v>15</v>
      </c>
      <c r="C31" s="123">
        <f>'Módulo avanzado'!C134</f>
        <v>-75600</v>
      </c>
      <c r="D31" s="81" t="s">
        <v>259</v>
      </c>
      <c r="E31" s="2"/>
    </row>
    <row r="32" spans="2:5" x14ac:dyDescent="0.25">
      <c r="B32" s="68" t="s">
        <v>16</v>
      </c>
      <c r="C32" s="123">
        <f>'Módulo avanzado'!C138</f>
        <v>-28336.695652173919</v>
      </c>
      <c r="D32" s="81" t="s">
        <v>260</v>
      </c>
      <c r="E32" s="2"/>
    </row>
    <row r="33" spans="2:5" x14ac:dyDescent="0.25">
      <c r="B33" s="70" t="s">
        <v>873</v>
      </c>
      <c r="C33" s="123">
        <f>'Módulo avanzado'!C140+'Módulo avanzado'!C141</f>
        <v>52353.382252430019</v>
      </c>
      <c r="D33" s="81" t="s">
        <v>261</v>
      </c>
      <c r="E33" s="2"/>
    </row>
    <row r="34" spans="2:5" x14ac:dyDescent="0.25">
      <c r="B34" s="74" t="s">
        <v>21</v>
      </c>
      <c r="C34" s="129">
        <f>'Módulo avanzado'!C142</f>
        <v>-217620.35339974385</v>
      </c>
      <c r="D34" s="85" t="s">
        <v>262</v>
      </c>
      <c r="E34" s="35"/>
    </row>
    <row r="35" spans="2:5" x14ac:dyDescent="0.25">
      <c r="B35" s="73" t="s">
        <v>181</v>
      </c>
      <c r="C35" s="128">
        <f>'Módulo avanzado'!C148</f>
        <v>1658.5714285714284</v>
      </c>
      <c r="D35" s="81" t="s">
        <v>8</v>
      </c>
      <c r="E35" s="89"/>
    </row>
    <row r="36" spans="2:5" x14ac:dyDescent="0.25">
      <c r="B36" s="75" t="s">
        <v>18</v>
      </c>
      <c r="C36" s="123">
        <f>'Módulo avanzado'!C149</f>
        <v>311.04000000000002</v>
      </c>
      <c r="D36" s="81" t="s">
        <v>263</v>
      </c>
      <c r="E36" s="2"/>
    </row>
    <row r="37" spans="2:5" x14ac:dyDescent="0.25">
      <c r="B37" s="69" t="s">
        <v>874</v>
      </c>
      <c r="C37" s="130">
        <f>'Módulo avanzado'!C150</f>
        <v>151.63200000000001</v>
      </c>
      <c r="D37" s="82" t="s">
        <v>20</v>
      </c>
      <c r="E37" s="35"/>
    </row>
    <row r="38" spans="2:5" x14ac:dyDescent="0.25">
      <c r="B38" s="112" t="s">
        <v>177</v>
      </c>
      <c r="C38" s="113" t="s">
        <v>264</v>
      </c>
      <c r="D38" s="106" t="s">
        <v>265</v>
      </c>
      <c r="E38" s="107" t="s">
        <v>266</v>
      </c>
    </row>
    <row r="39" spans="2:5" x14ac:dyDescent="0.25">
      <c r="B39" s="68" t="s">
        <v>267</v>
      </c>
      <c r="C39" s="123">
        <f>'Módulo avanzado'!C230</f>
        <v>541893.6</v>
      </c>
      <c r="D39" s="81" t="s">
        <v>268</v>
      </c>
      <c r="E39" s="2"/>
    </row>
    <row r="40" spans="2:5" x14ac:dyDescent="0.25">
      <c r="B40" s="68" t="s">
        <v>269</v>
      </c>
      <c r="C40" s="123">
        <f>'Módulo avanzado'!C243</f>
        <v>1056692.52</v>
      </c>
      <c r="D40" s="81" t="s">
        <v>270</v>
      </c>
      <c r="E40" s="2"/>
    </row>
    <row r="41" spans="2:5" x14ac:dyDescent="0.25">
      <c r="B41" s="72" t="s">
        <v>271</v>
      </c>
      <c r="C41" s="124" t="str">
        <f>'Módulo avanzado'!C179</f>
        <v>NO</v>
      </c>
      <c r="D41" s="83" t="s">
        <v>272</v>
      </c>
      <c r="E41" s="87"/>
    </row>
    <row r="42" spans="2:5" ht="22.5" x14ac:dyDescent="0.25">
      <c r="B42" s="137" t="s">
        <v>273</v>
      </c>
      <c r="C42" s="125">
        <f>'Módulo avanzado'!C255</f>
        <v>-597.03127380000001</v>
      </c>
      <c r="D42" s="119" t="s">
        <v>274</v>
      </c>
      <c r="E42" s="89"/>
    </row>
    <row r="43" spans="2:5" ht="22.5" x14ac:dyDescent="0.25">
      <c r="B43" s="38" t="s">
        <v>275</v>
      </c>
      <c r="C43" s="126">
        <f>'Módulo avanzado'!C256</f>
        <v>0</v>
      </c>
      <c r="D43" s="4" t="s">
        <v>276</v>
      </c>
      <c r="E43" s="2"/>
    </row>
    <row r="44" spans="2:5" x14ac:dyDescent="0.25">
      <c r="B44" s="122" t="s">
        <v>277</v>
      </c>
      <c r="C44" s="127">
        <f>'Módulo avanzado'!C257</f>
        <v>-597.03127380000001</v>
      </c>
      <c r="D44" s="118" t="s">
        <v>278</v>
      </c>
      <c r="E44" s="35"/>
    </row>
    <row r="45" spans="2:5" x14ac:dyDescent="0.25">
      <c r="B45" s="73" t="s">
        <v>279</v>
      </c>
      <c r="C45" s="128">
        <f>'Módulo avanzado'!C261</f>
        <v>-158503.878</v>
      </c>
      <c r="D45" s="84" t="s">
        <v>280</v>
      </c>
      <c r="E45" s="88"/>
    </row>
    <row r="46" spans="2:5" x14ac:dyDescent="0.25">
      <c r="B46" s="68" t="s">
        <v>281</v>
      </c>
      <c r="C46" s="123">
        <f>'Módulo avanzado'!C265</f>
        <v>-26843.686956521738</v>
      </c>
      <c r="D46" s="81" t="s">
        <v>282</v>
      </c>
      <c r="E46" s="2"/>
    </row>
    <row r="47" spans="2:5" x14ac:dyDescent="0.25">
      <c r="B47" s="70" t="s">
        <v>873</v>
      </c>
      <c r="C47" s="123">
        <f>'Módulo avanzado'!C267+'Módulo avanzado'!C268</f>
        <v>52353.382252430019</v>
      </c>
      <c r="D47" s="81" t="s">
        <v>283</v>
      </c>
      <c r="E47" s="2"/>
    </row>
    <row r="48" spans="2:5" x14ac:dyDescent="0.25">
      <c r="B48" s="74" t="s">
        <v>284</v>
      </c>
      <c r="C48" s="129">
        <f>'Módulo avanzado'!C269</f>
        <v>-132994.18270409171</v>
      </c>
      <c r="D48" s="85" t="s">
        <v>285</v>
      </c>
      <c r="E48" s="35"/>
    </row>
    <row r="49" spans="2:5" x14ac:dyDescent="0.25">
      <c r="B49" s="73" t="s">
        <v>286</v>
      </c>
      <c r="C49" s="128">
        <f>'Módulo avanzado'!C273</f>
        <v>1574.5714285714284</v>
      </c>
      <c r="D49" s="81" t="s">
        <v>287</v>
      </c>
      <c r="E49" s="89"/>
    </row>
    <row r="50" spans="2:5" x14ac:dyDescent="0.25">
      <c r="B50" s="75" t="s">
        <v>288</v>
      </c>
      <c r="C50" s="123">
        <f>'Módulo avanzado'!C274</f>
        <v>296.928</v>
      </c>
      <c r="D50" s="81" t="s">
        <v>289</v>
      </c>
      <c r="E50" s="2"/>
    </row>
    <row r="51" spans="2:5" x14ac:dyDescent="0.25">
      <c r="B51" s="69" t="s">
        <v>874</v>
      </c>
      <c r="C51" s="130">
        <f>'Módulo avanzado'!C275</f>
        <v>144.75239999999999</v>
      </c>
      <c r="D51" s="82" t="s">
        <v>290</v>
      </c>
      <c r="E51" s="35"/>
    </row>
    <row r="52" spans="2:5" x14ac:dyDescent="0.25">
      <c r="B52" s="112" t="s">
        <v>146</v>
      </c>
      <c r="C52" s="113" t="s">
        <v>291</v>
      </c>
      <c r="D52" s="106" t="s">
        <v>292</v>
      </c>
      <c r="E52" s="107" t="s">
        <v>293</v>
      </c>
    </row>
    <row r="53" spans="2:5" x14ac:dyDescent="0.25">
      <c r="B53" s="68" t="s">
        <v>294</v>
      </c>
      <c r="C53" s="123">
        <f>'Módulo avanzado'!C307</f>
        <v>380183.99999999994</v>
      </c>
      <c r="D53" s="81" t="s">
        <v>295</v>
      </c>
      <c r="E53" s="2"/>
    </row>
    <row r="54" spans="2:5" x14ac:dyDescent="0.25">
      <c r="B54" s="68" t="s">
        <v>296</v>
      </c>
      <c r="C54" s="123">
        <f>'Módulo avanzado'!C318</f>
        <v>741358.79999999993</v>
      </c>
      <c r="D54" s="81" t="s">
        <v>297</v>
      </c>
      <c r="E54" s="2"/>
    </row>
    <row r="55" spans="2:5" ht="22.5" x14ac:dyDescent="0.25">
      <c r="B55" s="137" t="s">
        <v>298</v>
      </c>
      <c r="C55" s="125">
        <f>'Módulo avanzado'!C330</f>
        <v>-418.86772199999996</v>
      </c>
      <c r="D55" s="119" t="s">
        <v>299</v>
      </c>
      <c r="E55" s="89"/>
    </row>
    <row r="56" spans="2:5" ht="22.5" x14ac:dyDescent="0.25">
      <c r="B56" s="38" t="s">
        <v>242</v>
      </c>
      <c r="C56" s="126">
        <f>'Módulo avanzado'!C335</f>
        <v>0</v>
      </c>
      <c r="D56" s="4" t="s">
        <v>300</v>
      </c>
      <c r="E56" s="2"/>
    </row>
    <row r="57" spans="2:5" x14ac:dyDescent="0.25">
      <c r="B57" s="122" t="s">
        <v>301</v>
      </c>
      <c r="C57" s="127">
        <f>'Módulo avanzado'!C336</f>
        <v>-418.86772199999996</v>
      </c>
      <c r="D57" s="118" t="s">
        <v>302</v>
      </c>
      <c r="E57" s="35"/>
    </row>
    <row r="58" spans="2:5" x14ac:dyDescent="0.25">
      <c r="B58" s="73" t="s">
        <v>303</v>
      </c>
      <c r="C58" s="128">
        <f>'Módulo avanzado'!C340</f>
        <v>-111203.81999999998</v>
      </c>
      <c r="D58" s="84" t="s">
        <v>304</v>
      </c>
      <c r="E58" s="88"/>
    </row>
    <row r="59" spans="2:5" x14ac:dyDescent="0.25">
      <c r="B59" s="70" t="s">
        <v>873</v>
      </c>
      <c r="C59" s="123">
        <f>'Módulo avanzado'!C341</f>
        <v>17413.228746383484</v>
      </c>
      <c r="D59" s="81" t="s">
        <v>305</v>
      </c>
      <c r="E59" s="2"/>
    </row>
    <row r="60" spans="2:5" x14ac:dyDescent="0.25">
      <c r="B60" s="74" t="s">
        <v>306</v>
      </c>
      <c r="C60" s="129">
        <f>'Módulo avanzado'!C342</f>
        <v>-93790.591253616498</v>
      </c>
      <c r="D60" s="85" t="s">
        <v>307</v>
      </c>
      <c r="E60" s="35"/>
    </row>
    <row r="61" spans="2:5" x14ac:dyDescent="0.25">
      <c r="B61" s="73" t="s">
        <v>308</v>
      </c>
      <c r="C61" s="128">
        <f>'Módulo avanzado'!C344</f>
        <v>208.32</v>
      </c>
      <c r="D61" s="81" t="s">
        <v>309</v>
      </c>
      <c r="E61" s="89"/>
    </row>
    <row r="62" spans="2:5" x14ac:dyDescent="0.25">
      <c r="B62" s="69" t="s">
        <v>874</v>
      </c>
      <c r="C62" s="130">
        <f>'Módulo avanzado'!C345</f>
        <v>101.55599999999998</v>
      </c>
      <c r="D62" s="82" t="s">
        <v>310</v>
      </c>
      <c r="E62" s="35"/>
    </row>
    <row r="63" spans="2:5" x14ac:dyDescent="0.25">
      <c r="B63" s="112" t="s">
        <v>156</v>
      </c>
      <c r="C63" s="113" t="s">
        <v>311</v>
      </c>
      <c r="D63" s="106" t="s">
        <v>312</v>
      </c>
      <c r="E63" s="107" t="s">
        <v>313</v>
      </c>
    </row>
    <row r="64" spans="2:5" x14ac:dyDescent="0.25">
      <c r="B64" s="68" t="s">
        <v>314</v>
      </c>
      <c r="C64" s="123">
        <f>'Módulo avanzado'!C375</f>
        <v>450514.2857142858</v>
      </c>
      <c r="D64" s="81" t="s">
        <v>315</v>
      </c>
      <c r="E64" s="2"/>
    </row>
    <row r="65" spans="2:5" x14ac:dyDescent="0.25">
      <c r="B65" s="68" t="s">
        <v>316</v>
      </c>
      <c r="C65" s="123">
        <f>'Módulo avanzado'!C386</f>
        <v>946080.00000000012</v>
      </c>
      <c r="D65" s="81" t="s">
        <v>317</v>
      </c>
      <c r="E65" s="2"/>
    </row>
    <row r="66" spans="2:5" ht="22.5" x14ac:dyDescent="0.25">
      <c r="B66" s="137" t="s">
        <v>318</v>
      </c>
      <c r="C66" s="125">
        <f>'Módulo avanzado'!C398</f>
        <v>-534.53520000000003</v>
      </c>
      <c r="D66" s="119" t="s">
        <v>319</v>
      </c>
      <c r="E66" s="89"/>
    </row>
    <row r="67" spans="2:5" ht="22.5" x14ac:dyDescent="0.25">
      <c r="B67" s="38" t="s">
        <v>243</v>
      </c>
      <c r="C67" s="126">
        <f>'Módulo avanzado'!C403</f>
        <v>0</v>
      </c>
      <c r="D67" s="4" t="s">
        <v>320</v>
      </c>
      <c r="E67" s="2"/>
    </row>
    <row r="68" spans="2:5" x14ac:dyDescent="0.25">
      <c r="B68" s="122" t="s">
        <v>321</v>
      </c>
      <c r="C68" s="127">
        <f>'Módulo avanzado'!C404</f>
        <v>-534.53520000000003</v>
      </c>
      <c r="D68" s="118" t="s">
        <v>322</v>
      </c>
      <c r="E68" s="35"/>
    </row>
    <row r="69" spans="2:5" x14ac:dyDescent="0.25">
      <c r="B69" s="73" t="s">
        <v>323</v>
      </c>
      <c r="C69" s="128">
        <f>'Módulo avanzado'!C408</f>
        <v>-141912.00000000003</v>
      </c>
      <c r="D69" s="84" t="s">
        <v>324</v>
      </c>
      <c r="E69" s="88"/>
    </row>
    <row r="70" spans="2:5" x14ac:dyDescent="0.25">
      <c r="B70" s="70" t="s">
        <v>873</v>
      </c>
      <c r="C70" s="123">
        <f>'Módulo avanzado'!C409+'Módulo avanzado'!C410</f>
        <v>24848.836158492071</v>
      </c>
      <c r="D70" s="81" t="s">
        <v>325</v>
      </c>
      <c r="E70" s="2"/>
    </row>
    <row r="71" spans="2:5" x14ac:dyDescent="0.25">
      <c r="B71" s="74" t="s">
        <v>326</v>
      </c>
      <c r="C71" s="129">
        <f>'Módulo avanzado'!C411</f>
        <v>-117063.16384150795</v>
      </c>
      <c r="D71" s="85" t="s">
        <v>327</v>
      </c>
      <c r="E71" s="35"/>
    </row>
    <row r="72" spans="2:5" x14ac:dyDescent="0.25">
      <c r="B72" s="90" t="s">
        <v>874</v>
      </c>
      <c r="C72" s="131">
        <f>'Módulo avanzado'!C414</f>
        <v>129.60000000000002</v>
      </c>
      <c r="D72" s="91" t="s">
        <v>328</v>
      </c>
      <c r="E72" s="92"/>
    </row>
    <row r="74" spans="2:5" x14ac:dyDescent="0.25">
      <c r="B74" s="170" t="s">
        <v>903</v>
      </c>
    </row>
    <row r="75" spans="2:5" x14ac:dyDescent="0.25">
      <c r="B75" s="171" t="s">
        <v>894</v>
      </c>
    </row>
    <row r="77" spans="2:5" x14ac:dyDescent="0.25">
      <c r="B77" s="67" t="s">
        <v>183</v>
      </c>
    </row>
  </sheetData>
  <sheetProtection algorithmName="SHA-512" hashValue="kj/3L+rArVDTcf/MLhQbcdtbe3I+PgK0HVC6oV71CXbozHCVOQJN3FGlDmcj32Vmp1cDkXRBKK7ZXaiVPXdb1Q==" saltValue="SYuh5GxWKh7LCEHHrxxT9g==" spinCount="100000" sheet="1" objects="1" scenarios="1"/>
  <dataValidations count="3">
    <dataValidation allowBlank="1" showInputMessage="1" showErrorMessage="1" promptTitle="GHG emissions" sqref="O10:O12"/>
    <dataValidation type="list" errorStyle="information" showInputMessage="1" showErrorMessage="1" error="Typical value: 0-1000" prompt="Insert default value" sqref="C13">
      <formula1>GHGemissions</formula1>
    </dataValidation>
    <dataValidation type="list" errorStyle="information" showInputMessage="1" showErrorMessage="1" error="Insert &quot;YES&quot; or &quot;NO&quot;" prompt="Insert default value" sqref="C14:C15">
      <formula1>$O$14:$O$15</formula1>
    </dataValidation>
  </dataValidations>
  <pageMargins left="0.70866141732283472" right="0.70866141732283472" top="0.59055118110236227" bottom="0.39370078740157483" header="0.31496062992125984" footer="0.31496062992125984"/>
  <pageSetup paperSize="9" scale="63" orientation="portrait" r:id="rId1"/>
  <drawing r:id="rId2"/>
  <legacyDrawing r:id="rId3"/>
  <oleObjects>
    <mc:AlternateContent xmlns:mc="http://schemas.openxmlformats.org/markup-compatibility/2006">
      <mc:Choice Requires="x14">
        <oleObject progId="AcroExch.Document.DC" dvAspect="DVASPECT_ICON" shapeId="3074" r:id="rId4">
          <objectPr locked="0" defaultSize="0" autoPict="0" r:id="rId5">
            <anchor moveWithCells="1">
              <from>
                <xdr:col>5</xdr:col>
                <xdr:colOff>66675</xdr:colOff>
                <xdr:row>1</xdr:row>
                <xdr:rowOff>28575</xdr:rowOff>
              </from>
              <to>
                <xdr:col>5</xdr:col>
                <xdr:colOff>1314450</xdr:colOff>
                <xdr:row>5</xdr:row>
                <xdr:rowOff>161925</xdr:rowOff>
              </to>
            </anchor>
          </objectPr>
        </oleObject>
      </mc:Choice>
      <mc:Fallback>
        <oleObject progId="AcroExch.Document.DC" dvAspect="DVASPECT_ICON" shapeId="3074" r:id="rId4"/>
      </mc:Fallback>
    </mc:AlternateContent>
  </oleObjects>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tint="0.39997558519241921"/>
  </sheetPr>
  <dimension ref="B2:P434"/>
  <sheetViews>
    <sheetView zoomScaleNormal="100" zoomScaleSheetLayoutView="100" workbookViewId="0">
      <selection activeCell="F16" sqref="F16"/>
    </sheetView>
  </sheetViews>
  <sheetFormatPr defaultColWidth="11.42578125" defaultRowHeight="15" x14ac:dyDescent="0.25"/>
  <cols>
    <col min="1" max="1" width="1.42578125" customWidth="1"/>
    <col min="2" max="2" width="42.28515625" style="8" customWidth="1"/>
    <col min="3" max="3" width="22.28515625" style="8" customWidth="1"/>
    <col min="4" max="4" width="16.140625" style="8" customWidth="1"/>
    <col min="5" max="5" width="49.42578125" style="30" customWidth="1"/>
    <col min="6" max="6" width="21.140625" customWidth="1"/>
    <col min="7" max="7" width="26.42578125" bestFit="1" customWidth="1"/>
    <col min="8" max="8" width="28.85546875" customWidth="1"/>
    <col min="15" max="15" width="35.7109375" hidden="1" customWidth="1"/>
    <col min="16" max="16" width="30.28515625" hidden="1" customWidth="1"/>
  </cols>
  <sheetData>
    <row r="2" spans="2:15" ht="15.75" x14ac:dyDescent="0.25">
      <c r="B2" s="18" t="s">
        <v>871</v>
      </c>
      <c r="C2" s="86"/>
      <c r="D2" s="76"/>
      <c r="E2" s="77" t="s">
        <v>956</v>
      </c>
    </row>
    <row r="3" spans="2:15" ht="15.75" x14ac:dyDescent="0.25">
      <c r="B3" s="18" t="s">
        <v>872</v>
      </c>
      <c r="C3" s="86"/>
      <c r="D3" s="76"/>
      <c r="E3" s="77"/>
    </row>
    <row r="4" spans="2:15" ht="15.75" x14ac:dyDescent="0.25">
      <c r="B4" s="9"/>
      <c r="G4" s="169" t="s">
        <v>893</v>
      </c>
    </row>
    <row r="5" spans="2:15" ht="15.75" x14ac:dyDescent="0.25">
      <c r="B5" s="9" t="s">
        <v>329</v>
      </c>
      <c r="C5" s="57" t="str">
        <f>'Módulo básico'!C5</f>
        <v>(Nombre de la planta de tratamiento)</v>
      </c>
      <c r="D5" s="58"/>
      <c r="E5" s="59"/>
    </row>
    <row r="6" spans="2:15" x14ac:dyDescent="0.25">
      <c r="B6" s="10" t="s">
        <v>330</v>
      </c>
      <c r="C6" s="60" t="str">
        <f>'Módulo básico'!C6</f>
        <v>(Fecha)</v>
      </c>
      <c r="D6" s="61"/>
      <c r="E6" s="62"/>
    </row>
    <row r="7" spans="2:15" ht="15" customHeight="1" x14ac:dyDescent="0.25">
      <c r="C7" s="11"/>
      <c r="D7" s="11"/>
      <c r="E7" s="31"/>
    </row>
    <row r="8" spans="2:15" x14ac:dyDescent="0.25">
      <c r="B8" s="21" t="s">
        <v>168</v>
      </c>
      <c r="C8" s="22" t="s">
        <v>331</v>
      </c>
      <c r="D8" s="23" t="s">
        <v>332</v>
      </c>
      <c r="E8" s="32" t="s">
        <v>333</v>
      </c>
    </row>
    <row r="9" spans="2:15" x14ac:dyDescent="0.25">
      <c r="B9" s="12" t="s">
        <v>334</v>
      </c>
      <c r="C9" s="43"/>
      <c r="D9" s="13"/>
      <c r="E9" s="33"/>
    </row>
    <row r="10" spans="2:15" x14ac:dyDescent="0.25">
      <c r="B10" s="1" t="s">
        <v>335</v>
      </c>
      <c r="C10" s="167">
        <f>'Módulo básico'!C10</f>
        <v>40000</v>
      </c>
      <c r="D10" s="4" t="s">
        <v>6</v>
      </c>
      <c r="E10" s="2"/>
    </row>
    <row r="11" spans="2:15" x14ac:dyDescent="0.25">
      <c r="B11" s="1" t="s">
        <v>336</v>
      </c>
      <c r="C11" s="3">
        <f>'Módulo básico'!C11</f>
        <v>120</v>
      </c>
      <c r="D11" s="4" t="s">
        <v>337</v>
      </c>
      <c r="E11" s="2"/>
    </row>
    <row r="12" spans="2:15" x14ac:dyDescent="0.25">
      <c r="B12" s="1" t="s">
        <v>196</v>
      </c>
      <c r="C12" s="159">
        <v>1</v>
      </c>
      <c r="D12" s="51" t="s">
        <v>338</v>
      </c>
      <c r="E12" s="37" t="s">
        <v>909</v>
      </c>
    </row>
    <row r="13" spans="2:15" x14ac:dyDescent="0.25">
      <c r="B13" s="1" t="s">
        <v>39</v>
      </c>
      <c r="C13" s="3">
        <f>C11*C12</f>
        <v>120</v>
      </c>
      <c r="D13" s="4" t="s">
        <v>339</v>
      </c>
      <c r="E13" s="37" t="s">
        <v>199</v>
      </c>
    </row>
    <row r="14" spans="2:15" ht="33.75" x14ac:dyDescent="0.25">
      <c r="B14" s="1" t="s">
        <v>195</v>
      </c>
      <c r="C14" s="159">
        <v>0.75</v>
      </c>
      <c r="D14" s="51" t="s">
        <v>340</v>
      </c>
      <c r="E14" s="37" t="s">
        <v>910</v>
      </c>
    </row>
    <row r="15" spans="2:15" x14ac:dyDescent="0.25">
      <c r="B15" s="1" t="s">
        <v>40</v>
      </c>
      <c r="C15" s="3">
        <f>C13*C14</f>
        <v>90</v>
      </c>
      <c r="D15" s="4" t="s">
        <v>341</v>
      </c>
      <c r="E15" s="37"/>
      <c r="F15" s="7"/>
    </row>
    <row r="16" spans="2:15" ht="22.5" x14ac:dyDescent="0.25">
      <c r="B16" s="1" t="s">
        <v>30</v>
      </c>
      <c r="C16" s="160">
        <v>50</v>
      </c>
      <c r="D16" s="4" t="s">
        <v>29</v>
      </c>
      <c r="E16" s="37" t="s">
        <v>911</v>
      </c>
      <c r="F16" s="7"/>
      <c r="O16" s="140">
        <v>60</v>
      </c>
    </row>
    <row r="17" spans="2:15" x14ac:dyDescent="0.25">
      <c r="B17" s="1" t="s">
        <v>41</v>
      </c>
      <c r="C17" s="3">
        <f>C10*C11/1000</f>
        <v>4800</v>
      </c>
      <c r="D17" s="4" t="s">
        <v>1</v>
      </c>
      <c r="E17" s="2"/>
      <c r="O17" s="139">
        <v>50</v>
      </c>
    </row>
    <row r="18" spans="2:15" x14ac:dyDescent="0.25">
      <c r="B18" s="1" t="s">
        <v>876</v>
      </c>
      <c r="C18" s="3">
        <f>C17/0.06</f>
        <v>80000</v>
      </c>
      <c r="D18" s="4" t="s">
        <v>13</v>
      </c>
      <c r="E18" s="2" t="s">
        <v>184</v>
      </c>
      <c r="O18" s="138">
        <v>40</v>
      </c>
    </row>
    <row r="19" spans="2:15" ht="24" x14ac:dyDescent="0.25">
      <c r="B19" s="1" t="s">
        <v>875</v>
      </c>
      <c r="C19" s="3">
        <f>C17/(C16/1000)</f>
        <v>96000</v>
      </c>
      <c r="D19" s="4" t="s">
        <v>31</v>
      </c>
      <c r="E19" s="2" t="s">
        <v>185</v>
      </c>
    </row>
    <row r="20" spans="2:15" s="20" customFormat="1" x14ac:dyDescent="0.25">
      <c r="B20" s="47"/>
      <c r="C20" s="48"/>
      <c r="D20" s="49"/>
      <c r="E20" s="50"/>
    </row>
    <row r="21" spans="2:15" x14ac:dyDescent="0.25">
      <c r="B21" s="24" t="s">
        <v>33</v>
      </c>
      <c r="C21" s="25" t="s">
        <v>342</v>
      </c>
      <c r="D21" s="26" t="s">
        <v>343</v>
      </c>
      <c r="E21" s="36" t="s">
        <v>344</v>
      </c>
    </row>
    <row r="22" spans="2:15" x14ac:dyDescent="0.25">
      <c r="B22" s="12" t="s">
        <v>34</v>
      </c>
      <c r="C22" s="43"/>
      <c r="D22" s="13"/>
      <c r="E22" s="33"/>
    </row>
    <row r="23" spans="2:15" x14ac:dyDescent="0.25">
      <c r="B23" s="39" t="s">
        <v>86</v>
      </c>
      <c r="C23" s="16"/>
      <c r="D23" s="28"/>
      <c r="E23" s="2"/>
    </row>
    <row r="24" spans="2:15" ht="36" customHeight="1" x14ac:dyDescent="0.25">
      <c r="B24" s="1" t="s">
        <v>113</v>
      </c>
      <c r="C24" s="160" t="s">
        <v>345</v>
      </c>
      <c r="D24" s="28"/>
      <c r="E24" s="2" t="s">
        <v>234</v>
      </c>
      <c r="O24" s="116" t="s">
        <v>346</v>
      </c>
    </row>
    <row r="25" spans="2:15" x14ac:dyDescent="0.25">
      <c r="B25" s="1" t="s">
        <v>87</v>
      </c>
      <c r="C25" s="3">
        <f>C26*C10/24</f>
        <v>1250</v>
      </c>
      <c r="D25" s="4" t="s">
        <v>347</v>
      </c>
      <c r="E25" s="2"/>
      <c r="O25" s="117" t="s">
        <v>348</v>
      </c>
    </row>
    <row r="26" spans="2:15" s="29" customFormat="1" x14ac:dyDescent="0.25">
      <c r="B26" s="27" t="s">
        <v>35</v>
      </c>
      <c r="C26" s="159">
        <v>0.75</v>
      </c>
      <c r="D26" s="28" t="s">
        <v>36</v>
      </c>
      <c r="E26" s="37" t="s">
        <v>912</v>
      </c>
    </row>
    <row r="27" spans="2:15" s="29" customFormat="1" x14ac:dyDescent="0.25">
      <c r="B27" s="1" t="s">
        <v>89</v>
      </c>
      <c r="C27" s="161">
        <v>30</v>
      </c>
      <c r="D27" s="28" t="s">
        <v>44</v>
      </c>
      <c r="E27" s="37" t="s">
        <v>913</v>
      </c>
    </row>
    <row r="28" spans="2:15" s="29" customFormat="1" x14ac:dyDescent="0.25">
      <c r="B28" s="1" t="s">
        <v>43</v>
      </c>
      <c r="C28" s="161">
        <v>50</v>
      </c>
      <c r="D28" s="28" t="s">
        <v>349</v>
      </c>
      <c r="E28" s="37" t="s">
        <v>914</v>
      </c>
    </row>
    <row r="29" spans="2:15" s="29" customFormat="1" x14ac:dyDescent="0.25">
      <c r="B29" s="39" t="s">
        <v>88</v>
      </c>
      <c r="C29" s="16"/>
      <c r="D29" s="28"/>
      <c r="E29" s="37"/>
    </row>
    <row r="30" spans="2:15" s="29" customFormat="1" x14ac:dyDescent="0.25">
      <c r="B30" s="1" t="s">
        <v>90</v>
      </c>
      <c r="C30" s="3">
        <f>(1-C27/100)*C17</f>
        <v>3360</v>
      </c>
      <c r="D30" s="4" t="s">
        <v>350</v>
      </c>
      <c r="E30" s="37"/>
    </row>
    <row r="31" spans="2:15" s="29" customFormat="1" x14ac:dyDescent="0.25">
      <c r="B31" s="1" t="s">
        <v>91</v>
      </c>
      <c r="C31" s="3">
        <f>(1-C28/100)*C10*C13/1000</f>
        <v>2400</v>
      </c>
      <c r="D31" s="4" t="s">
        <v>351</v>
      </c>
      <c r="E31" s="37"/>
    </row>
    <row r="32" spans="2:15" x14ac:dyDescent="0.25">
      <c r="B32" s="14" t="s">
        <v>4</v>
      </c>
      <c r="C32" s="44"/>
      <c r="D32" s="15"/>
      <c r="E32" s="34"/>
    </row>
    <row r="33" spans="2:16" x14ac:dyDescent="0.25">
      <c r="B33" s="39" t="s">
        <v>135</v>
      </c>
      <c r="C33" s="16"/>
      <c r="D33" s="28"/>
      <c r="E33" s="37"/>
    </row>
    <row r="34" spans="2:16" x14ac:dyDescent="0.25">
      <c r="B34" s="1" t="s">
        <v>45</v>
      </c>
      <c r="C34" s="3">
        <f>C10*C13/1000*C28/100</f>
        <v>2400</v>
      </c>
      <c r="D34" s="28" t="s">
        <v>7</v>
      </c>
      <c r="E34" s="2"/>
      <c r="F34" s="7"/>
    </row>
    <row r="35" spans="2:16" ht="22.5" x14ac:dyDescent="0.25">
      <c r="B35" s="1" t="s">
        <v>42</v>
      </c>
      <c r="C35" s="161">
        <v>3.5</v>
      </c>
      <c r="D35" s="4" t="s">
        <v>5</v>
      </c>
      <c r="E35" s="2" t="s">
        <v>915</v>
      </c>
      <c r="F35" s="7"/>
    </row>
    <row r="36" spans="2:16" ht="33.75" x14ac:dyDescent="0.25">
      <c r="B36" s="1" t="s">
        <v>56</v>
      </c>
      <c r="C36" s="3">
        <f>C14*100</f>
        <v>75</v>
      </c>
      <c r="D36" s="4" t="s">
        <v>57</v>
      </c>
      <c r="E36" s="37" t="s">
        <v>916</v>
      </c>
      <c r="F36" s="7"/>
    </row>
    <row r="37" spans="2:16" x14ac:dyDescent="0.25">
      <c r="B37" s="1" t="s">
        <v>877</v>
      </c>
      <c r="C37" s="16">
        <f>C34/(C35*10)</f>
        <v>68.571428571428569</v>
      </c>
      <c r="D37" s="4" t="s">
        <v>352</v>
      </c>
      <c r="E37" s="37"/>
      <c r="F37" s="7"/>
    </row>
    <row r="38" spans="2:16" x14ac:dyDescent="0.25">
      <c r="B38" s="39" t="s">
        <v>136</v>
      </c>
      <c r="C38" s="16"/>
      <c r="D38" s="28"/>
      <c r="E38" s="37"/>
      <c r="F38" s="7"/>
    </row>
    <row r="39" spans="2:16" ht="22.5" x14ac:dyDescent="0.25">
      <c r="B39" s="1" t="s">
        <v>46</v>
      </c>
      <c r="C39" s="159">
        <v>0.75</v>
      </c>
      <c r="D39" s="4" t="s">
        <v>23</v>
      </c>
      <c r="E39" s="37" t="s">
        <v>917</v>
      </c>
      <c r="F39" s="7"/>
    </row>
    <row r="40" spans="2:16" x14ac:dyDescent="0.25">
      <c r="B40" s="1"/>
      <c r="C40" s="3">
        <f>C39*C17*(1-C27/100)</f>
        <v>2520</v>
      </c>
      <c r="D40" s="4" t="s">
        <v>353</v>
      </c>
      <c r="E40" s="37"/>
    </row>
    <row r="41" spans="2:16" ht="22.5" x14ac:dyDescent="0.25">
      <c r="B41" s="1" t="s">
        <v>47</v>
      </c>
      <c r="C41" s="161">
        <v>6</v>
      </c>
      <c r="D41" s="4" t="s">
        <v>354</v>
      </c>
      <c r="E41" s="37" t="s">
        <v>918</v>
      </c>
    </row>
    <row r="42" spans="2:16" ht="67.5" x14ac:dyDescent="0.25">
      <c r="B42" s="1" t="s">
        <v>72</v>
      </c>
      <c r="C42" s="160">
        <v>70</v>
      </c>
      <c r="D42" s="4" t="s">
        <v>355</v>
      </c>
      <c r="E42" s="2" t="s">
        <v>919</v>
      </c>
    </row>
    <row r="43" spans="2:16" x14ac:dyDescent="0.25">
      <c r="B43" s="1" t="s">
        <v>878</v>
      </c>
      <c r="C43" s="16">
        <f>C40/(C41*10)</f>
        <v>42</v>
      </c>
      <c r="D43" s="4" t="s">
        <v>356</v>
      </c>
      <c r="E43" s="2"/>
    </row>
    <row r="44" spans="2:16" x14ac:dyDescent="0.25">
      <c r="B44" s="14" t="s">
        <v>49</v>
      </c>
      <c r="C44" s="44"/>
      <c r="D44" s="15"/>
      <c r="E44" s="34"/>
    </row>
    <row r="45" spans="2:16" x14ac:dyDescent="0.25">
      <c r="B45" s="38" t="s">
        <v>198</v>
      </c>
      <c r="C45" s="162" t="s">
        <v>357</v>
      </c>
      <c r="D45" s="4"/>
      <c r="E45" s="120" t="s">
        <v>358</v>
      </c>
      <c r="O45" s="116" t="s">
        <v>359</v>
      </c>
    </row>
    <row r="46" spans="2:16" x14ac:dyDescent="0.25">
      <c r="B46" s="1" t="s">
        <v>52</v>
      </c>
      <c r="C46" s="162"/>
      <c r="D46" s="4"/>
      <c r="E46" s="37" t="s">
        <v>197</v>
      </c>
      <c r="O46" s="117" t="s">
        <v>360</v>
      </c>
    </row>
    <row r="47" spans="2:16" x14ac:dyDescent="0.25">
      <c r="B47" s="1" t="s">
        <v>233</v>
      </c>
      <c r="C47" s="161">
        <v>0</v>
      </c>
      <c r="D47" s="4" t="s">
        <v>361</v>
      </c>
      <c r="E47" s="37"/>
    </row>
    <row r="48" spans="2:16" ht="22.5" x14ac:dyDescent="0.25">
      <c r="B48" s="1" t="s">
        <v>54</v>
      </c>
      <c r="C48" s="161">
        <v>5</v>
      </c>
      <c r="D48" s="4" t="s">
        <v>55</v>
      </c>
      <c r="E48" s="37" t="s">
        <v>920</v>
      </c>
      <c r="O48" s="141">
        <v>5</v>
      </c>
      <c r="P48" s="143">
        <v>90</v>
      </c>
    </row>
    <row r="49" spans="2:16" ht="22.5" x14ac:dyDescent="0.25">
      <c r="B49" s="1" t="s">
        <v>73</v>
      </c>
      <c r="C49" s="161">
        <v>90</v>
      </c>
      <c r="D49" s="4" t="s">
        <v>362</v>
      </c>
      <c r="E49" s="37" t="s">
        <v>920</v>
      </c>
      <c r="O49" s="142">
        <v>10</v>
      </c>
      <c r="P49" s="144">
        <v>90</v>
      </c>
    </row>
    <row r="50" spans="2:16" x14ac:dyDescent="0.25">
      <c r="B50" s="14" t="s">
        <v>51</v>
      </c>
      <c r="C50" s="44"/>
      <c r="D50" s="15"/>
      <c r="E50" s="34"/>
      <c r="O50" s="145">
        <v>5</v>
      </c>
      <c r="P50" s="146">
        <v>95</v>
      </c>
    </row>
    <row r="51" spans="2:16" ht="22.5" x14ac:dyDescent="0.25">
      <c r="B51" s="38" t="s">
        <v>173</v>
      </c>
      <c r="C51" s="162" t="s">
        <v>363</v>
      </c>
      <c r="D51" s="51" t="s">
        <v>364</v>
      </c>
      <c r="E51" s="120" t="s">
        <v>365</v>
      </c>
      <c r="G51" s="99"/>
    </row>
    <row r="52" spans="2:16" ht="22.5" x14ac:dyDescent="0.25">
      <c r="B52" s="38" t="s">
        <v>108</v>
      </c>
      <c r="C52" s="160">
        <v>0</v>
      </c>
      <c r="D52" s="4" t="s">
        <v>366</v>
      </c>
      <c r="E52" s="121" t="s">
        <v>921</v>
      </c>
    </row>
    <row r="53" spans="2:16" x14ac:dyDescent="0.25">
      <c r="B53" s="14" t="s">
        <v>48</v>
      </c>
      <c r="C53" s="44"/>
      <c r="D53" s="15"/>
      <c r="E53" s="34"/>
    </row>
    <row r="54" spans="2:16" ht="33.75" x14ac:dyDescent="0.25">
      <c r="B54" s="1" t="s">
        <v>879</v>
      </c>
      <c r="C54" s="160">
        <v>15</v>
      </c>
      <c r="D54" s="4" t="s">
        <v>182</v>
      </c>
      <c r="E54" s="37" t="s">
        <v>922</v>
      </c>
    </row>
    <row r="55" spans="2:16" x14ac:dyDescent="0.25">
      <c r="B55" s="1" t="s">
        <v>92</v>
      </c>
      <c r="C55" s="3">
        <f>C54*C60</f>
        <v>1658.5714285714284</v>
      </c>
      <c r="D55" s="4" t="s">
        <v>367</v>
      </c>
      <c r="E55" s="2"/>
    </row>
    <row r="56" spans="2:16" x14ac:dyDescent="0.25">
      <c r="B56" s="5" t="s">
        <v>58</v>
      </c>
      <c r="C56" s="3"/>
      <c r="D56" s="4"/>
      <c r="E56" s="2"/>
    </row>
    <row r="57" spans="2:16" x14ac:dyDescent="0.25">
      <c r="B57" s="1" t="s">
        <v>59</v>
      </c>
      <c r="C57" s="3">
        <f>C37</f>
        <v>68.571428571428569</v>
      </c>
      <c r="D57" s="4" t="s">
        <v>368</v>
      </c>
      <c r="E57" s="2"/>
    </row>
    <row r="58" spans="2:16" x14ac:dyDescent="0.25">
      <c r="B58" s="1" t="s">
        <v>60</v>
      </c>
      <c r="C58" s="3">
        <f>C43</f>
        <v>42</v>
      </c>
      <c r="D58" s="4" t="s">
        <v>369</v>
      </c>
      <c r="E58" s="2"/>
    </row>
    <row r="59" spans="2:16" x14ac:dyDescent="0.25">
      <c r="B59" s="1" t="s">
        <v>61</v>
      </c>
      <c r="C59" s="3">
        <f>C47</f>
        <v>0</v>
      </c>
      <c r="D59" s="4" t="s">
        <v>370</v>
      </c>
      <c r="E59" s="2"/>
    </row>
    <row r="60" spans="2:16" x14ac:dyDescent="0.25">
      <c r="B60" s="1" t="s">
        <v>50</v>
      </c>
      <c r="C60" s="3">
        <f>SUM(C57:C59)</f>
        <v>110.57142857142857</v>
      </c>
      <c r="D60" s="4" t="s">
        <v>371</v>
      </c>
      <c r="E60" s="2"/>
    </row>
    <row r="61" spans="2:16" x14ac:dyDescent="0.25">
      <c r="B61" s="5" t="s">
        <v>62</v>
      </c>
      <c r="C61" s="3"/>
      <c r="D61" s="4"/>
      <c r="E61" s="2"/>
    </row>
    <row r="62" spans="2:16" x14ac:dyDescent="0.25">
      <c r="B62" s="1" t="s">
        <v>372</v>
      </c>
      <c r="C62" s="3">
        <f>C34</f>
        <v>2400</v>
      </c>
      <c r="D62" s="4" t="s">
        <v>373</v>
      </c>
      <c r="E62" s="2"/>
    </row>
    <row r="63" spans="2:16" x14ac:dyDescent="0.25">
      <c r="B63" s="1" t="s">
        <v>374</v>
      </c>
      <c r="C63" s="3">
        <f>C40</f>
        <v>2520</v>
      </c>
      <c r="D63" s="4" t="s">
        <v>375</v>
      </c>
      <c r="E63" s="2"/>
    </row>
    <row r="64" spans="2:16" x14ac:dyDescent="0.25">
      <c r="B64" s="1" t="s">
        <v>376</v>
      </c>
      <c r="C64" s="3">
        <f>1000*C47*C48/100</f>
        <v>0</v>
      </c>
      <c r="D64" s="4" t="s">
        <v>377</v>
      </c>
      <c r="E64" s="2"/>
    </row>
    <row r="65" spans="2:15" x14ac:dyDescent="0.25">
      <c r="B65" s="1" t="s">
        <v>378</v>
      </c>
      <c r="C65" s="3">
        <f>SUM(C62:C64)</f>
        <v>4920</v>
      </c>
      <c r="D65" s="4" t="s">
        <v>379</v>
      </c>
      <c r="E65" s="2"/>
    </row>
    <row r="66" spans="2:15" x14ac:dyDescent="0.25">
      <c r="B66" s="5" t="s">
        <v>63</v>
      </c>
      <c r="C66" s="3"/>
      <c r="D66" s="4"/>
      <c r="E66" s="2"/>
    </row>
    <row r="67" spans="2:15" x14ac:dyDescent="0.25">
      <c r="B67" s="1" t="s">
        <v>380</v>
      </c>
      <c r="C67" s="3">
        <f>C62*C36/100</f>
        <v>1800</v>
      </c>
      <c r="D67" s="4" t="s">
        <v>64</v>
      </c>
      <c r="E67" s="2"/>
    </row>
    <row r="68" spans="2:15" x14ac:dyDescent="0.25">
      <c r="B68" s="1" t="s">
        <v>381</v>
      </c>
      <c r="C68" s="3">
        <f>C63*C42/100</f>
        <v>1764</v>
      </c>
      <c r="D68" s="4" t="s">
        <v>382</v>
      </c>
      <c r="E68" s="2"/>
    </row>
    <row r="69" spans="2:15" x14ac:dyDescent="0.25">
      <c r="B69" s="1" t="s">
        <v>383</v>
      </c>
      <c r="C69" s="3">
        <f>C64*C49/100</f>
        <v>0</v>
      </c>
      <c r="D69" s="4" t="s">
        <v>384</v>
      </c>
      <c r="E69" s="2"/>
    </row>
    <row r="70" spans="2:15" x14ac:dyDescent="0.25">
      <c r="B70" s="1" t="s">
        <v>385</v>
      </c>
      <c r="C70" s="3">
        <f>SUM(C67:C69)</f>
        <v>3564</v>
      </c>
      <c r="D70" s="4" t="s">
        <v>386</v>
      </c>
      <c r="E70" s="2"/>
    </row>
    <row r="71" spans="2:15" x14ac:dyDescent="0.25">
      <c r="B71" s="5" t="s">
        <v>69</v>
      </c>
      <c r="C71" s="3"/>
      <c r="D71" s="28"/>
      <c r="E71" s="2"/>
    </row>
    <row r="72" spans="2:15" x14ac:dyDescent="0.25">
      <c r="B72" s="27" t="s">
        <v>65</v>
      </c>
      <c r="C72" s="160">
        <v>60</v>
      </c>
      <c r="D72" s="28" t="s">
        <v>70</v>
      </c>
      <c r="E72" s="37" t="s">
        <v>923</v>
      </c>
    </row>
    <row r="73" spans="2:15" x14ac:dyDescent="0.25">
      <c r="B73" s="27" t="s">
        <v>66</v>
      </c>
      <c r="C73" s="160">
        <v>40</v>
      </c>
      <c r="D73" s="28" t="s">
        <v>387</v>
      </c>
      <c r="E73" s="37" t="s">
        <v>924</v>
      </c>
    </row>
    <row r="74" spans="2:15" ht="22.5" x14ac:dyDescent="0.25">
      <c r="B74" s="27" t="s">
        <v>67</v>
      </c>
      <c r="C74" s="160">
        <v>85</v>
      </c>
      <c r="D74" s="28" t="s">
        <v>388</v>
      </c>
      <c r="E74" s="37" t="s">
        <v>920</v>
      </c>
      <c r="O74" s="147">
        <v>85</v>
      </c>
    </row>
    <row r="75" spans="2:15" x14ac:dyDescent="0.25">
      <c r="B75" s="5" t="s">
        <v>85</v>
      </c>
      <c r="C75" s="3"/>
      <c r="D75" s="28"/>
      <c r="E75" s="2"/>
      <c r="O75" s="148">
        <v>80</v>
      </c>
    </row>
    <row r="76" spans="2:15" x14ac:dyDescent="0.25">
      <c r="B76" s="27" t="s">
        <v>389</v>
      </c>
      <c r="C76" s="3">
        <f>C67*C72/100</f>
        <v>1080</v>
      </c>
      <c r="D76" s="28" t="s">
        <v>880</v>
      </c>
      <c r="E76" s="2"/>
      <c r="O76" s="149">
        <v>95</v>
      </c>
    </row>
    <row r="77" spans="2:15" x14ac:dyDescent="0.25">
      <c r="B77" s="27" t="s">
        <v>390</v>
      </c>
      <c r="C77" s="3">
        <f t="shared" ref="C77:C78" si="0">C68*C73/100</f>
        <v>705.6</v>
      </c>
      <c r="D77" s="28" t="s">
        <v>880</v>
      </c>
      <c r="E77" s="2"/>
    </row>
    <row r="78" spans="2:15" x14ac:dyDescent="0.25">
      <c r="B78" s="27" t="s">
        <v>864</v>
      </c>
      <c r="C78" s="3">
        <f t="shared" si="0"/>
        <v>0</v>
      </c>
      <c r="D78" s="28" t="s">
        <v>880</v>
      </c>
      <c r="E78" s="2"/>
    </row>
    <row r="79" spans="2:15" x14ac:dyDescent="0.25">
      <c r="B79" s="27" t="s">
        <v>68</v>
      </c>
      <c r="C79" s="3">
        <f>SUM(C76:C78)</f>
        <v>1785.6</v>
      </c>
      <c r="D79" s="28" t="s">
        <v>880</v>
      </c>
      <c r="E79" s="2"/>
    </row>
    <row r="80" spans="2:15" x14ac:dyDescent="0.25">
      <c r="B80" s="14" t="s">
        <v>93</v>
      </c>
      <c r="C80" s="44"/>
      <c r="D80" s="15"/>
      <c r="E80" s="34"/>
    </row>
    <row r="81" spans="2:15" x14ac:dyDescent="0.25">
      <c r="B81" s="27" t="s">
        <v>881</v>
      </c>
      <c r="C81" s="160">
        <v>23</v>
      </c>
      <c r="D81" s="28" t="s">
        <v>391</v>
      </c>
      <c r="E81" s="37" t="s">
        <v>925</v>
      </c>
    </row>
    <row r="82" spans="2:15" x14ac:dyDescent="0.25">
      <c r="B82" s="27" t="s">
        <v>94</v>
      </c>
      <c r="C82" s="3">
        <f>C65-C79</f>
        <v>3134.4</v>
      </c>
      <c r="D82" s="4" t="s">
        <v>392</v>
      </c>
      <c r="E82" s="2"/>
    </row>
    <row r="83" spans="2:15" x14ac:dyDescent="0.25">
      <c r="B83" s="27" t="s">
        <v>95</v>
      </c>
      <c r="C83" s="3">
        <f>1000*C82/C18</f>
        <v>39.18</v>
      </c>
      <c r="D83" s="4" t="s">
        <v>96</v>
      </c>
      <c r="E83" s="2"/>
    </row>
    <row r="84" spans="2:15" x14ac:dyDescent="0.25">
      <c r="B84" s="27"/>
      <c r="C84" s="3">
        <f>1000*C82/C19</f>
        <v>32.65</v>
      </c>
      <c r="D84" s="4" t="s">
        <v>97</v>
      </c>
      <c r="E84" s="2"/>
    </row>
    <row r="85" spans="2:15" x14ac:dyDescent="0.25">
      <c r="B85" s="27" t="s">
        <v>882</v>
      </c>
      <c r="C85" s="16">
        <f>C82/(C81*10)</f>
        <v>13.627826086956523</v>
      </c>
      <c r="D85" s="4" t="s">
        <v>393</v>
      </c>
      <c r="E85" s="2"/>
    </row>
    <row r="86" spans="2:15" x14ac:dyDescent="0.25">
      <c r="B86" s="27"/>
      <c r="C86" s="96">
        <f>C85*365</f>
        <v>4974.1565217391308</v>
      </c>
      <c r="D86" s="4" t="s">
        <v>394</v>
      </c>
      <c r="E86" s="2"/>
    </row>
    <row r="87" spans="2:15" x14ac:dyDescent="0.25">
      <c r="B87" s="14" t="s">
        <v>71</v>
      </c>
      <c r="C87" s="44"/>
      <c r="D87" s="15"/>
      <c r="E87" s="34"/>
    </row>
    <row r="88" spans="2:15" ht="22.5" x14ac:dyDescent="0.25">
      <c r="B88" s="1" t="s">
        <v>124</v>
      </c>
      <c r="C88" s="160">
        <v>20</v>
      </c>
      <c r="D88" s="2" t="s">
        <v>125</v>
      </c>
      <c r="E88" s="37" t="s">
        <v>926</v>
      </c>
    </row>
    <row r="89" spans="2:15" x14ac:dyDescent="0.25">
      <c r="B89" s="1" t="s">
        <v>126</v>
      </c>
      <c r="C89" s="3">
        <f>C88/100*C99</f>
        <v>311.04000000000002</v>
      </c>
      <c r="D89" s="4" t="s">
        <v>395</v>
      </c>
      <c r="E89" s="2"/>
    </row>
    <row r="90" spans="2:15" x14ac:dyDescent="0.25">
      <c r="B90" s="39" t="s">
        <v>74</v>
      </c>
      <c r="C90" s="6"/>
      <c r="D90" s="4"/>
      <c r="E90" s="2"/>
    </row>
    <row r="91" spans="2:15" x14ac:dyDescent="0.25">
      <c r="B91" s="1" t="s">
        <v>76</v>
      </c>
      <c r="C91" s="160">
        <v>950</v>
      </c>
      <c r="D91" s="28" t="s">
        <v>75</v>
      </c>
      <c r="E91" s="2" t="s">
        <v>927</v>
      </c>
    </row>
    <row r="92" spans="2:15" x14ac:dyDescent="0.25">
      <c r="B92" s="1" t="s">
        <v>77</v>
      </c>
      <c r="C92" s="160">
        <v>750</v>
      </c>
      <c r="D92" s="28" t="s">
        <v>396</v>
      </c>
      <c r="E92" s="2" t="s">
        <v>928</v>
      </c>
    </row>
    <row r="93" spans="2:15" ht="22.5" x14ac:dyDescent="0.25">
      <c r="B93" s="1" t="s">
        <v>78</v>
      </c>
      <c r="C93" s="160">
        <v>1000</v>
      </c>
      <c r="D93" s="28" t="s">
        <v>397</v>
      </c>
      <c r="E93" s="37" t="s">
        <v>920</v>
      </c>
      <c r="O93" s="150">
        <v>1100</v>
      </c>
    </row>
    <row r="94" spans="2:15" x14ac:dyDescent="0.25">
      <c r="B94" s="39" t="s">
        <v>79</v>
      </c>
      <c r="C94" s="42"/>
      <c r="D94" s="4"/>
      <c r="E94" s="2"/>
      <c r="O94" s="151">
        <v>1000</v>
      </c>
    </row>
    <row r="95" spans="2:15" x14ac:dyDescent="0.25">
      <c r="B95" s="1" t="s">
        <v>80</v>
      </c>
      <c r="C95" s="3">
        <f t="shared" ref="C95:C97" si="1">C91/1000*C76</f>
        <v>1026</v>
      </c>
      <c r="D95" s="4" t="s">
        <v>398</v>
      </c>
      <c r="E95" s="2"/>
      <c r="O95" s="152">
        <v>850</v>
      </c>
    </row>
    <row r="96" spans="2:15" x14ac:dyDescent="0.25">
      <c r="B96" s="1" t="s">
        <v>81</v>
      </c>
      <c r="C96" s="3">
        <f t="shared" si="1"/>
        <v>529.20000000000005</v>
      </c>
      <c r="D96" s="4" t="s">
        <v>399</v>
      </c>
      <c r="E96" s="2"/>
    </row>
    <row r="97" spans="2:15" x14ac:dyDescent="0.25">
      <c r="B97" s="1" t="s">
        <v>82</v>
      </c>
      <c r="C97" s="3">
        <f t="shared" si="1"/>
        <v>0</v>
      </c>
      <c r="D97" s="4" t="s">
        <v>400</v>
      </c>
      <c r="E97" s="2"/>
    </row>
    <row r="98" spans="2:15" x14ac:dyDescent="0.25">
      <c r="B98" s="1" t="s">
        <v>83</v>
      </c>
      <c r="C98" s="3">
        <f>IF(C51="YES",C52/100*SUM(C95:C96),0)</f>
        <v>0</v>
      </c>
      <c r="D98" s="4" t="s">
        <v>401</v>
      </c>
      <c r="E98" s="2"/>
    </row>
    <row r="99" spans="2:15" x14ac:dyDescent="0.25">
      <c r="B99" s="1" t="s">
        <v>84</v>
      </c>
      <c r="C99" s="3">
        <f>SUM(C95:C98)</f>
        <v>1555.2</v>
      </c>
      <c r="D99" s="4" t="s">
        <v>402</v>
      </c>
      <c r="E99" s="2"/>
    </row>
    <row r="100" spans="2:15" x14ac:dyDescent="0.25">
      <c r="B100" s="27"/>
      <c r="C100" s="132">
        <f>C99*365</f>
        <v>567648</v>
      </c>
      <c r="D100" s="4" t="s">
        <v>403</v>
      </c>
      <c r="E100" s="2"/>
    </row>
    <row r="101" spans="2:15" x14ac:dyDescent="0.25">
      <c r="B101" s="27" t="s">
        <v>98</v>
      </c>
      <c r="C101" s="3">
        <f>C99*1000/C18</f>
        <v>19.440000000000001</v>
      </c>
      <c r="D101" s="4" t="s">
        <v>99</v>
      </c>
      <c r="E101" s="2"/>
    </row>
    <row r="102" spans="2:15" x14ac:dyDescent="0.25">
      <c r="B102" s="27"/>
      <c r="C102" s="3">
        <f>C99*1000/C19</f>
        <v>16.2</v>
      </c>
      <c r="D102" s="4" t="s">
        <v>100</v>
      </c>
      <c r="E102" s="2"/>
    </row>
    <row r="103" spans="2:15" x14ac:dyDescent="0.25">
      <c r="B103" s="39" t="s">
        <v>105</v>
      </c>
      <c r="C103" s="3"/>
      <c r="D103" s="4"/>
      <c r="E103" s="2"/>
    </row>
    <row r="104" spans="2:15" x14ac:dyDescent="0.25">
      <c r="B104" s="27" t="s">
        <v>102</v>
      </c>
      <c r="C104" s="160">
        <v>65</v>
      </c>
      <c r="D104" s="4" t="s">
        <v>101</v>
      </c>
      <c r="E104" s="2" t="s">
        <v>929</v>
      </c>
    </row>
    <row r="105" spans="2:15" ht="22.5" x14ac:dyDescent="0.25">
      <c r="B105" s="135" t="s">
        <v>103</v>
      </c>
      <c r="C105" s="160">
        <v>60</v>
      </c>
      <c r="D105" s="4" t="s">
        <v>404</v>
      </c>
      <c r="E105" s="37" t="s">
        <v>920</v>
      </c>
    </row>
    <row r="106" spans="2:15" x14ac:dyDescent="0.25">
      <c r="B106" s="27" t="s">
        <v>104</v>
      </c>
      <c r="C106" s="40">
        <f>((C95+C96+C98)*C104+C97*C105)/C99</f>
        <v>65</v>
      </c>
      <c r="D106" s="4" t="s">
        <v>405</v>
      </c>
      <c r="E106" s="2"/>
    </row>
    <row r="107" spans="2:15" x14ac:dyDescent="0.25">
      <c r="B107" s="14" t="s">
        <v>9</v>
      </c>
      <c r="C107" s="44"/>
      <c r="D107" s="15"/>
      <c r="E107" s="34"/>
    </row>
    <row r="108" spans="2:15" x14ac:dyDescent="0.25">
      <c r="B108" s="1" t="s">
        <v>3</v>
      </c>
      <c r="C108" s="40">
        <f>C106/10</f>
        <v>6.5</v>
      </c>
      <c r="D108" s="4" t="s">
        <v>24</v>
      </c>
      <c r="E108" s="2"/>
    </row>
    <row r="109" spans="2:15" x14ac:dyDescent="0.25">
      <c r="B109" s="39" t="s">
        <v>174</v>
      </c>
      <c r="C109" s="3"/>
      <c r="D109" s="4"/>
      <c r="E109" s="2"/>
    </row>
    <row r="110" spans="2:15" ht="22.5" x14ac:dyDescent="0.25">
      <c r="B110" s="1" t="s">
        <v>169</v>
      </c>
      <c r="C110" s="160">
        <v>30</v>
      </c>
      <c r="D110" s="4" t="s">
        <v>406</v>
      </c>
      <c r="E110" s="2" t="s">
        <v>930</v>
      </c>
    </row>
    <row r="111" spans="2:15" x14ac:dyDescent="0.25">
      <c r="B111" s="1" t="s">
        <v>407</v>
      </c>
      <c r="C111" s="3">
        <f>C108*C110/100*C99</f>
        <v>3032.64</v>
      </c>
      <c r="D111" s="4" t="s">
        <v>10</v>
      </c>
      <c r="E111" s="2"/>
      <c r="O111" s="153">
        <v>75</v>
      </c>
    </row>
    <row r="112" spans="2:15" x14ac:dyDescent="0.25">
      <c r="B112" s="1"/>
      <c r="C112" s="16">
        <f>C111*365/C18</f>
        <v>13.836419999999999</v>
      </c>
      <c r="D112" s="4" t="s">
        <v>25</v>
      </c>
      <c r="E112" s="2"/>
      <c r="O112" s="154">
        <v>60</v>
      </c>
    </row>
    <row r="113" spans="2:15" x14ac:dyDescent="0.25">
      <c r="B113" s="1"/>
      <c r="C113" s="132">
        <f>C111*365</f>
        <v>1106913.5999999999</v>
      </c>
      <c r="D113" s="4" t="s">
        <v>408</v>
      </c>
      <c r="E113" s="2"/>
      <c r="O113" s="155">
        <v>53</v>
      </c>
    </row>
    <row r="114" spans="2:15" ht="22.5" x14ac:dyDescent="0.25">
      <c r="B114" s="1" t="s">
        <v>145</v>
      </c>
      <c r="C114" s="160">
        <v>35</v>
      </c>
      <c r="D114" s="4" t="s">
        <v>409</v>
      </c>
      <c r="E114" s="2" t="s">
        <v>931</v>
      </c>
    </row>
    <row r="115" spans="2:15" x14ac:dyDescent="0.25">
      <c r="B115" s="1"/>
      <c r="C115" s="3">
        <f>C114*C18/365</f>
        <v>7671.232876712329</v>
      </c>
      <c r="D115" s="4" t="s">
        <v>410</v>
      </c>
      <c r="E115" s="2"/>
    </row>
    <row r="116" spans="2:15" x14ac:dyDescent="0.25">
      <c r="B116" s="1"/>
      <c r="C116" s="96">
        <f>C115*365</f>
        <v>2800000</v>
      </c>
      <c r="D116" s="4" t="s">
        <v>411</v>
      </c>
      <c r="E116" s="2"/>
    </row>
    <row r="117" spans="2:15" ht="22.5" x14ac:dyDescent="0.25">
      <c r="B117" s="71" t="s">
        <v>213</v>
      </c>
      <c r="C117" s="97">
        <f>C113/C116</f>
        <v>0.39532628571428569</v>
      </c>
      <c r="D117" s="4" t="s">
        <v>110</v>
      </c>
      <c r="E117" s="2"/>
    </row>
    <row r="118" spans="2:15" x14ac:dyDescent="0.25">
      <c r="B118" s="39" t="s">
        <v>175</v>
      </c>
      <c r="C118" s="3"/>
      <c r="D118" s="4"/>
      <c r="E118" s="2"/>
    </row>
    <row r="119" spans="2:15" x14ac:dyDescent="0.25">
      <c r="B119" s="1" t="s">
        <v>170</v>
      </c>
      <c r="C119" s="160">
        <v>50</v>
      </c>
      <c r="D119" s="4" t="s">
        <v>412</v>
      </c>
      <c r="E119" s="2" t="s">
        <v>932</v>
      </c>
    </row>
    <row r="120" spans="2:15" x14ac:dyDescent="0.25">
      <c r="B120" s="1" t="s">
        <v>12</v>
      </c>
      <c r="C120" s="3">
        <f>C108*C119/100*C99</f>
        <v>5054.4000000000005</v>
      </c>
      <c r="D120" s="4" t="s">
        <v>413</v>
      </c>
      <c r="E120" s="2"/>
    </row>
    <row r="121" spans="2:15" x14ac:dyDescent="0.25">
      <c r="B121" s="1"/>
      <c r="C121" s="96">
        <f>C120*365</f>
        <v>1844856.0000000002</v>
      </c>
      <c r="D121" s="4" t="s">
        <v>414</v>
      </c>
      <c r="E121" s="2"/>
    </row>
    <row r="122" spans="2:15" x14ac:dyDescent="0.25">
      <c r="B122" s="14" t="s">
        <v>218</v>
      </c>
      <c r="C122" s="44"/>
      <c r="D122" s="15"/>
      <c r="E122" s="34"/>
    </row>
    <row r="123" spans="2:15" ht="22.5" x14ac:dyDescent="0.25">
      <c r="B123" s="71" t="s">
        <v>415</v>
      </c>
      <c r="C123" s="96">
        <f>'Módulo básico'!C13</f>
        <v>565</v>
      </c>
      <c r="D123" s="81" t="s">
        <v>416</v>
      </c>
      <c r="E123" s="2"/>
    </row>
    <row r="124" spans="2:15" x14ac:dyDescent="0.25">
      <c r="B124" s="1" t="s">
        <v>216</v>
      </c>
      <c r="C124" s="96">
        <f>C113</f>
        <v>1106913.5999999999</v>
      </c>
      <c r="D124" s="4" t="s">
        <v>417</v>
      </c>
      <c r="E124" s="2"/>
    </row>
    <row r="125" spans="2:15" ht="24" x14ac:dyDescent="0.25">
      <c r="B125" s="38" t="s">
        <v>418</v>
      </c>
      <c r="C125" s="133">
        <f>-C123/1000000*C124</f>
        <v>-625.40618399999983</v>
      </c>
      <c r="D125" s="4" t="s">
        <v>419</v>
      </c>
      <c r="E125" s="2" t="s">
        <v>223</v>
      </c>
    </row>
    <row r="126" spans="2:15" ht="45" x14ac:dyDescent="0.25">
      <c r="B126" s="1" t="s">
        <v>420</v>
      </c>
      <c r="C126" s="133">
        <v>0</v>
      </c>
      <c r="D126" s="4" t="s">
        <v>421</v>
      </c>
      <c r="E126" s="2" t="s">
        <v>229</v>
      </c>
    </row>
    <row r="127" spans="2:15" x14ac:dyDescent="0.25">
      <c r="B127" s="1" t="s">
        <v>422</v>
      </c>
      <c r="C127" s="134">
        <f>SUM(C125:C126)</f>
        <v>-625.40618399999983</v>
      </c>
      <c r="D127" s="46" t="s">
        <v>423</v>
      </c>
      <c r="E127" s="2"/>
    </row>
    <row r="128" spans="2:15" x14ac:dyDescent="0.25">
      <c r="B128" s="14" t="s">
        <v>214</v>
      </c>
      <c r="C128" s="44"/>
      <c r="D128" s="15"/>
      <c r="E128" s="34"/>
    </row>
    <row r="129" spans="2:5" x14ac:dyDescent="0.25">
      <c r="B129" s="1" t="s">
        <v>424</v>
      </c>
      <c r="C129" s="52">
        <f>'Módulo básico'!C17</f>
        <v>0.15</v>
      </c>
      <c r="D129" s="4" t="s">
        <v>425</v>
      </c>
      <c r="E129" s="2"/>
    </row>
    <row r="130" spans="2:5" ht="22.5" x14ac:dyDescent="0.25">
      <c r="B130" s="1" t="s">
        <v>426</v>
      </c>
      <c r="C130" s="3">
        <f>-C111*C129</f>
        <v>-454.89599999999996</v>
      </c>
      <c r="D130" s="4" t="s">
        <v>116</v>
      </c>
      <c r="E130" s="37" t="s">
        <v>205</v>
      </c>
    </row>
    <row r="131" spans="2:5" x14ac:dyDescent="0.25">
      <c r="B131" s="1"/>
      <c r="C131" s="133">
        <f>C130*365</f>
        <v>-166037.03999999998</v>
      </c>
      <c r="D131" s="41" t="s">
        <v>427</v>
      </c>
      <c r="E131" s="2"/>
    </row>
    <row r="132" spans="2:5" ht="67.5" x14ac:dyDescent="0.25">
      <c r="B132" s="1" t="s">
        <v>865</v>
      </c>
      <c r="C132" s="3">
        <f>-C27/100*0.6*C114*C18/365</f>
        <v>-1380.8219178082193</v>
      </c>
      <c r="D132" s="4" t="s">
        <v>428</v>
      </c>
      <c r="E132" s="37" t="s">
        <v>201</v>
      </c>
    </row>
    <row r="133" spans="2:5" x14ac:dyDescent="0.25">
      <c r="B133" s="1"/>
      <c r="C133" s="96">
        <f>C132*365</f>
        <v>-504000.00000000006</v>
      </c>
      <c r="D133" s="4" t="s">
        <v>429</v>
      </c>
      <c r="E133" s="37"/>
    </row>
    <row r="134" spans="2:5" x14ac:dyDescent="0.25">
      <c r="B134" s="1"/>
      <c r="C134" s="133">
        <f>C133*C129</f>
        <v>-75600</v>
      </c>
      <c r="D134" s="41" t="s">
        <v>430</v>
      </c>
      <c r="E134" s="37"/>
    </row>
    <row r="135" spans="2:5" x14ac:dyDescent="0.25">
      <c r="B135" s="1" t="s">
        <v>431</v>
      </c>
      <c r="C135" s="52">
        <f>'Módulo básico'!C18</f>
        <v>10</v>
      </c>
      <c r="D135" s="4" t="s">
        <v>432</v>
      </c>
      <c r="E135" s="37"/>
    </row>
    <row r="136" spans="2:5" x14ac:dyDescent="0.25">
      <c r="B136" s="1" t="s">
        <v>433</v>
      </c>
      <c r="C136" s="16">
        <f>-(C65/C82*C85-C85)</f>
        <v>-7.7634782608695669</v>
      </c>
      <c r="D136" s="4" t="s">
        <v>434</v>
      </c>
      <c r="E136" s="37"/>
    </row>
    <row r="137" spans="2:5" x14ac:dyDescent="0.25">
      <c r="B137" s="1"/>
      <c r="C137" s="96">
        <f>C136*365</f>
        <v>-2833.6695652173921</v>
      </c>
      <c r="D137" s="4" t="s">
        <v>435</v>
      </c>
      <c r="E137" s="37"/>
    </row>
    <row r="138" spans="2:5" x14ac:dyDescent="0.25">
      <c r="B138" s="1"/>
      <c r="C138" s="133">
        <f>C137*C135</f>
        <v>-28336.695652173919</v>
      </c>
      <c r="D138" s="41" t="s">
        <v>436</v>
      </c>
      <c r="E138" s="37"/>
    </row>
    <row r="139" spans="2:5" x14ac:dyDescent="0.25">
      <c r="B139" s="27" t="s">
        <v>884</v>
      </c>
      <c r="C139" s="96">
        <f>'Módulo básico'!C19</f>
        <v>10000</v>
      </c>
      <c r="D139" s="4" t="s">
        <v>883</v>
      </c>
      <c r="E139" s="37"/>
    </row>
    <row r="140" spans="2:5" ht="69" x14ac:dyDescent="0.25">
      <c r="B140" s="27"/>
      <c r="C140" s="133">
        <f>1.5*0.5*C18*C139/40000</f>
        <v>15000</v>
      </c>
      <c r="D140" s="41" t="s">
        <v>437</v>
      </c>
      <c r="E140" s="37" t="s">
        <v>240</v>
      </c>
    </row>
    <row r="141" spans="2:5" ht="57.75" x14ac:dyDescent="0.25">
      <c r="B141" s="27" t="s">
        <v>22</v>
      </c>
      <c r="C141" s="133">
        <f>0.01*1.3*C18*81098*(C18^(-0.684))</f>
        <v>37353.382252430019</v>
      </c>
      <c r="D141" s="41" t="s">
        <v>438</v>
      </c>
      <c r="E141" s="37" t="s">
        <v>202</v>
      </c>
    </row>
    <row r="142" spans="2:5" x14ac:dyDescent="0.25">
      <c r="B142" s="45" t="s">
        <v>439</v>
      </c>
      <c r="C142" s="134">
        <f>C131+C134+C138+C140+C141</f>
        <v>-217620.35339974385</v>
      </c>
      <c r="D142" s="46" t="s">
        <v>440</v>
      </c>
      <c r="E142" s="2"/>
    </row>
    <row r="143" spans="2:5" x14ac:dyDescent="0.25">
      <c r="B143" s="14" t="s">
        <v>215</v>
      </c>
      <c r="C143" s="44"/>
      <c r="D143" s="15"/>
      <c r="E143" s="34"/>
    </row>
    <row r="144" spans="2:5" x14ac:dyDescent="0.25">
      <c r="B144" s="1" t="s">
        <v>121</v>
      </c>
      <c r="C144" s="96">
        <f>IF(C24="NO",0,C25)</f>
        <v>1250</v>
      </c>
      <c r="D144" s="4" t="s">
        <v>441</v>
      </c>
      <c r="E144" s="2"/>
    </row>
    <row r="145" spans="2:5" ht="22.5" x14ac:dyDescent="0.25">
      <c r="B145" s="1" t="s">
        <v>179</v>
      </c>
      <c r="C145" s="100" t="s">
        <v>129</v>
      </c>
      <c r="D145" s="51" t="s">
        <v>442</v>
      </c>
      <c r="E145" s="2"/>
    </row>
    <row r="146" spans="2:5" x14ac:dyDescent="0.25">
      <c r="B146" s="1" t="s">
        <v>180</v>
      </c>
      <c r="C146" s="96" t="str">
        <f>C51</f>
        <v>NO</v>
      </c>
      <c r="D146" s="51" t="s">
        <v>443</v>
      </c>
      <c r="E146" s="2"/>
    </row>
    <row r="147" spans="2:5" x14ac:dyDescent="0.25">
      <c r="B147" s="1" t="s">
        <v>122</v>
      </c>
      <c r="C147" s="98">
        <f>-C27/100</f>
        <v>-0.3</v>
      </c>
      <c r="D147" s="4" t="s">
        <v>444</v>
      </c>
      <c r="E147" s="2"/>
    </row>
    <row r="148" spans="2:5" x14ac:dyDescent="0.25">
      <c r="B148" s="1" t="s">
        <v>123</v>
      </c>
      <c r="C148" s="132">
        <f>C55</f>
        <v>1658.5714285714284</v>
      </c>
      <c r="D148" s="4" t="s">
        <v>445</v>
      </c>
      <c r="E148" s="2"/>
    </row>
    <row r="149" spans="2:5" x14ac:dyDescent="0.25">
      <c r="B149" s="1" t="s">
        <v>446</v>
      </c>
      <c r="C149" s="132">
        <f>C89</f>
        <v>311.04000000000002</v>
      </c>
      <c r="D149" s="4" t="s">
        <v>447</v>
      </c>
      <c r="E149" s="2"/>
    </row>
    <row r="150" spans="2:5" x14ac:dyDescent="0.25">
      <c r="B150" s="1" t="s">
        <v>874</v>
      </c>
      <c r="C150" s="132">
        <f>C111/20</f>
        <v>151.63200000000001</v>
      </c>
      <c r="D150" s="4" t="s">
        <v>448</v>
      </c>
      <c r="E150" s="2" t="s">
        <v>206</v>
      </c>
    </row>
    <row r="151" spans="2:5" x14ac:dyDescent="0.25">
      <c r="B151" s="1"/>
      <c r="C151" s="96">
        <f>C150/2</f>
        <v>75.816000000000003</v>
      </c>
      <c r="D151" s="4" t="s">
        <v>127</v>
      </c>
      <c r="E151" s="2" t="s">
        <v>207</v>
      </c>
    </row>
    <row r="152" spans="2:5" ht="22.5" x14ac:dyDescent="0.25">
      <c r="B152" s="1" t="s">
        <v>128</v>
      </c>
      <c r="C152" s="100" t="s">
        <v>449</v>
      </c>
      <c r="D152" s="51" t="s">
        <v>450</v>
      </c>
      <c r="E152" s="2"/>
    </row>
    <row r="153" spans="2:5" ht="22.5" x14ac:dyDescent="0.25">
      <c r="B153" s="17" t="s">
        <v>132</v>
      </c>
      <c r="C153" s="101" t="s">
        <v>451</v>
      </c>
      <c r="D153" s="19" t="s">
        <v>452</v>
      </c>
      <c r="E153" s="35"/>
    </row>
    <row r="155" spans="2:5" x14ac:dyDescent="0.25">
      <c r="B155" s="24" t="s">
        <v>133</v>
      </c>
      <c r="C155" s="25" t="s">
        <v>453</v>
      </c>
      <c r="D155" s="26" t="s">
        <v>454</v>
      </c>
      <c r="E155" s="36" t="s">
        <v>455</v>
      </c>
    </row>
    <row r="156" spans="2:5" x14ac:dyDescent="0.25">
      <c r="B156" s="12" t="s">
        <v>456</v>
      </c>
      <c r="C156" s="43"/>
      <c r="D156" s="13"/>
      <c r="E156" s="33"/>
    </row>
    <row r="157" spans="2:5" x14ac:dyDescent="0.25">
      <c r="B157" s="39" t="s">
        <v>457</v>
      </c>
      <c r="C157" s="16"/>
      <c r="D157" s="28"/>
      <c r="E157" s="2"/>
    </row>
    <row r="158" spans="2:5" ht="33.75" customHeight="1" x14ac:dyDescent="0.25">
      <c r="B158" s="1" t="s">
        <v>458</v>
      </c>
      <c r="C158" s="160" t="s">
        <v>459</v>
      </c>
      <c r="D158" s="28"/>
      <c r="E158" s="2" t="s">
        <v>460</v>
      </c>
    </row>
    <row r="159" spans="2:5" x14ac:dyDescent="0.25">
      <c r="B159" s="1" t="s">
        <v>461</v>
      </c>
      <c r="C159" s="3">
        <f>C160*C10/24</f>
        <v>1250</v>
      </c>
      <c r="D159" s="4" t="s">
        <v>462</v>
      </c>
      <c r="E159" s="2"/>
    </row>
    <row r="160" spans="2:5" x14ac:dyDescent="0.25">
      <c r="B160" s="27" t="s">
        <v>463</v>
      </c>
      <c r="C160" s="159">
        <v>0.75</v>
      </c>
      <c r="D160" s="28" t="s">
        <v>464</v>
      </c>
      <c r="E160" s="37" t="s">
        <v>912</v>
      </c>
    </row>
    <row r="161" spans="2:5" x14ac:dyDescent="0.25">
      <c r="B161" s="1" t="s">
        <v>465</v>
      </c>
      <c r="C161" s="161">
        <v>30</v>
      </c>
      <c r="D161" s="28" t="s">
        <v>466</v>
      </c>
      <c r="E161" s="37" t="s">
        <v>913</v>
      </c>
    </row>
    <row r="162" spans="2:5" x14ac:dyDescent="0.25">
      <c r="B162" s="1" t="s">
        <v>467</v>
      </c>
      <c r="C162" s="161">
        <v>50</v>
      </c>
      <c r="D162" s="28" t="s">
        <v>468</v>
      </c>
      <c r="E162" s="37" t="s">
        <v>914</v>
      </c>
    </row>
    <row r="163" spans="2:5" x14ac:dyDescent="0.25">
      <c r="B163" s="39" t="s">
        <v>134</v>
      </c>
      <c r="C163" s="16"/>
      <c r="D163" s="28"/>
      <c r="E163" s="37"/>
    </row>
    <row r="164" spans="2:5" x14ac:dyDescent="0.25">
      <c r="B164" s="1" t="s">
        <v>469</v>
      </c>
      <c r="C164" s="3">
        <f>(1-C161/100)*C17</f>
        <v>3360</v>
      </c>
      <c r="D164" s="4" t="s">
        <v>470</v>
      </c>
      <c r="E164" s="37"/>
    </row>
    <row r="165" spans="2:5" x14ac:dyDescent="0.25">
      <c r="B165" s="1" t="s">
        <v>471</v>
      </c>
      <c r="C165" s="3">
        <f>(1-C162/100)*C10*C13/1000</f>
        <v>2400</v>
      </c>
      <c r="D165" s="4" t="s">
        <v>472</v>
      </c>
      <c r="E165" s="37"/>
    </row>
    <row r="166" spans="2:5" x14ac:dyDescent="0.25">
      <c r="B166" s="14" t="s">
        <v>473</v>
      </c>
      <c r="C166" s="44"/>
      <c r="D166" s="15"/>
      <c r="E166" s="34"/>
    </row>
    <row r="167" spans="2:5" x14ac:dyDescent="0.25">
      <c r="B167" s="39" t="s">
        <v>474</v>
      </c>
      <c r="C167" s="16"/>
      <c r="D167" s="28"/>
      <c r="E167" s="37"/>
    </row>
    <row r="168" spans="2:5" x14ac:dyDescent="0.25">
      <c r="B168" s="1" t="s">
        <v>475</v>
      </c>
      <c r="C168" s="3">
        <f>C10*C13/1000*C162/100</f>
        <v>2400</v>
      </c>
      <c r="D168" s="28" t="s">
        <v>476</v>
      </c>
      <c r="E168" s="2"/>
    </row>
    <row r="169" spans="2:5" ht="22.5" x14ac:dyDescent="0.25">
      <c r="B169" s="1" t="s">
        <v>477</v>
      </c>
      <c r="C169" s="161">
        <v>3.5</v>
      </c>
      <c r="D169" s="4" t="s">
        <v>478</v>
      </c>
      <c r="E169" s="2" t="s">
        <v>915</v>
      </c>
    </row>
    <row r="170" spans="2:5" ht="22.5" x14ac:dyDescent="0.25">
      <c r="B170" s="1" t="s">
        <v>479</v>
      </c>
      <c r="C170" s="3">
        <f>C14*100</f>
        <v>75</v>
      </c>
      <c r="D170" s="4" t="s">
        <v>480</v>
      </c>
      <c r="E170" s="37" t="s">
        <v>200</v>
      </c>
    </row>
    <row r="171" spans="2:5" x14ac:dyDescent="0.25">
      <c r="B171" s="1" t="s">
        <v>877</v>
      </c>
      <c r="C171" s="16">
        <f>C168/(C169*10)</f>
        <v>68.571428571428569</v>
      </c>
      <c r="D171" s="4" t="s">
        <v>481</v>
      </c>
      <c r="E171" s="2"/>
    </row>
    <row r="172" spans="2:5" x14ac:dyDescent="0.25">
      <c r="B172" s="39" t="s">
        <v>482</v>
      </c>
      <c r="C172" s="16"/>
      <c r="D172" s="28"/>
      <c r="E172" s="37"/>
    </row>
    <row r="173" spans="2:5" ht="22.5" x14ac:dyDescent="0.25">
      <c r="B173" s="1" t="s">
        <v>137</v>
      </c>
      <c r="C173" s="159">
        <v>0.65</v>
      </c>
      <c r="D173" s="4" t="s">
        <v>483</v>
      </c>
      <c r="E173" s="37" t="s">
        <v>933</v>
      </c>
    </row>
    <row r="174" spans="2:5" x14ac:dyDescent="0.25">
      <c r="B174" s="1"/>
      <c r="C174" s="3">
        <f>C173*C17*(1-C161/100)</f>
        <v>2184</v>
      </c>
      <c r="D174" s="4" t="s">
        <v>484</v>
      </c>
      <c r="E174" s="2"/>
    </row>
    <row r="175" spans="2:5" ht="22.5" x14ac:dyDescent="0.25">
      <c r="B175" s="1" t="s">
        <v>138</v>
      </c>
      <c r="C175" s="161">
        <v>6</v>
      </c>
      <c r="D175" s="4" t="s">
        <v>485</v>
      </c>
      <c r="E175" s="2" t="s">
        <v>918</v>
      </c>
    </row>
    <row r="176" spans="2:5" x14ac:dyDescent="0.25">
      <c r="B176" s="1" t="s">
        <v>139</v>
      </c>
      <c r="C176" s="160">
        <v>70</v>
      </c>
      <c r="D176" s="4" t="s">
        <v>486</v>
      </c>
      <c r="E176" s="2" t="s">
        <v>934</v>
      </c>
    </row>
    <row r="177" spans="2:5" x14ac:dyDescent="0.25">
      <c r="B177" s="1" t="s">
        <v>885</v>
      </c>
      <c r="C177" s="16">
        <f>C174/(C175*10)</f>
        <v>36.4</v>
      </c>
      <c r="D177" s="4" t="s">
        <v>487</v>
      </c>
      <c r="E177" s="2"/>
    </row>
    <row r="178" spans="2:5" x14ac:dyDescent="0.25">
      <c r="B178" s="14" t="s">
        <v>488</v>
      </c>
      <c r="C178" s="44"/>
      <c r="D178" s="15"/>
      <c r="E178" s="34"/>
    </row>
    <row r="179" spans="2:5" x14ac:dyDescent="0.25">
      <c r="B179" s="38" t="s">
        <v>489</v>
      </c>
      <c r="C179" s="53" t="str">
        <f>C45</f>
        <v>NO</v>
      </c>
      <c r="D179" s="4"/>
      <c r="E179" s="37" t="s">
        <v>203</v>
      </c>
    </row>
    <row r="180" spans="2:5" x14ac:dyDescent="0.25">
      <c r="B180" s="1" t="s">
        <v>490</v>
      </c>
      <c r="C180" s="53">
        <f>C46</f>
        <v>0</v>
      </c>
      <c r="D180" s="4"/>
      <c r="E180" s="37" t="s">
        <v>491</v>
      </c>
    </row>
    <row r="181" spans="2:5" x14ac:dyDescent="0.25">
      <c r="B181" s="1" t="s">
        <v>53</v>
      </c>
      <c r="C181" s="53">
        <f>C47</f>
        <v>0</v>
      </c>
      <c r="D181" s="4" t="s">
        <v>492</v>
      </c>
      <c r="E181" s="37" t="s">
        <v>493</v>
      </c>
    </row>
    <row r="182" spans="2:5" x14ac:dyDescent="0.25">
      <c r="B182" s="1" t="s">
        <v>494</v>
      </c>
      <c r="C182" s="53">
        <f>C48</f>
        <v>5</v>
      </c>
      <c r="D182" s="4" t="s">
        <v>495</v>
      </c>
      <c r="E182" s="37" t="s">
        <v>496</v>
      </c>
    </row>
    <row r="183" spans="2:5" x14ac:dyDescent="0.25">
      <c r="B183" s="1" t="s">
        <v>497</v>
      </c>
      <c r="C183" s="53">
        <f>C49</f>
        <v>90</v>
      </c>
      <c r="D183" s="4" t="s">
        <v>498</v>
      </c>
      <c r="E183" s="37" t="s">
        <v>499</v>
      </c>
    </row>
    <row r="184" spans="2:5" x14ac:dyDescent="0.25">
      <c r="B184" s="14" t="s">
        <v>500</v>
      </c>
      <c r="C184" s="44"/>
      <c r="D184" s="15"/>
      <c r="E184" s="34"/>
    </row>
    <row r="185" spans="2:5" ht="33.75" x14ac:dyDescent="0.25">
      <c r="B185" s="1" t="s">
        <v>501</v>
      </c>
      <c r="C185" s="160">
        <v>15</v>
      </c>
      <c r="D185" s="4" t="s">
        <v>502</v>
      </c>
      <c r="E185" s="37" t="s">
        <v>935</v>
      </c>
    </row>
    <row r="186" spans="2:5" x14ac:dyDescent="0.25">
      <c r="B186" s="1" t="s">
        <v>503</v>
      </c>
      <c r="C186" s="3">
        <f>C185*C191</f>
        <v>1574.5714285714284</v>
      </c>
      <c r="D186" s="4" t="s">
        <v>504</v>
      </c>
      <c r="E186" s="2"/>
    </row>
    <row r="187" spans="2:5" x14ac:dyDescent="0.25">
      <c r="B187" s="5" t="s">
        <v>505</v>
      </c>
      <c r="C187" s="3"/>
      <c r="D187" s="4"/>
      <c r="E187" s="2"/>
    </row>
    <row r="188" spans="2:5" x14ac:dyDescent="0.25">
      <c r="B188" s="1" t="s">
        <v>506</v>
      </c>
      <c r="C188" s="3">
        <f>C171</f>
        <v>68.571428571428569</v>
      </c>
      <c r="D188" s="4" t="s">
        <v>507</v>
      </c>
      <c r="E188" s="2"/>
    </row>
    <row r="189" spans="2:5" x14ac:dyDescent="0.25">
      <c r="B189" s="1" t="s">
        <v>140</v>
      </c>
      <c r="C189" s="3">
        <f>C177</f>
        <v>36.4</v>
      </c>
      <c r="D189" s="4" t="s">
        <v>508</v>
      </c>
      <c r="E189" s="2"/>
    </row>
    <row r="190" spans="2:5" x14ac:dyDescent="0.25">
      <c r="B190" s="1" t="s">
        <v>509</v>
      </c>
      <c r="C190" s="3">
        <f>C181</f>
        <v>0</v>
      </c>
      <c r="D190" s="4" t="s">
        <v>510</v>
      </c>
      <c r="E190" s="2"/>
    </row>
    <row r="191" spans="2:5" x14ac:dyDescent="0.25">
      <c r="B191" s="1" t="s">
        <v>511</v>
      </c>
      <c r="C191" s="3">
        <f>SUM(C188:C190)</f>
        <v>104.97142857142856</v>
      </c>
      <c r="D191" s="4" t="s">
        <v>512</v>
      </c>
      <c r="E191" s="2"/>
    </row>
    <row r="192" spans="2:5" x14ac:dyDescent="0.25">
      <c r="B192" s="5" t="s">
        <v>513</v>
      </c>
      <c r="C192" s="3"/>
      <c r="D192" s="4"/>
      <c r="E192" s="2"/>
    </row>
    <row r="193" spans="2:5" x14ac:dyDescent="0.25">
      <c r="B193" s="1" t="s">
        <v>514</v>
      </c>
      <c r="C193" s="3">
        <f>C168</f>
        <v>2400</v>
      </c>
      <c r="D193" s="4" t="s">
        <v>515</v>
      </c>
      <c r="E193" s="2"/>
    </row>
    <row r="194" spans="2:5" x14ac:dyDescent="0.25">
      <c r="B194" s="1" t="s">
        <v>516</v>
      </c>
      <c r="C194" s="3">
        <f>C174</f>
        <v>2184</v>
      </c>
      <c r="D194" s="4" t="s">
        <v>517</v>
      </c>
      <c r="E194" s="2"/>
    </row>
    <row r="195" spans="2:5" x14ac:dyDescent="0.25">
      <c r="B195" s="1" t="s">
        <v>518</v>
      </c>
      <c r="C195" s="3">
        <f>1000*C181*C182/100</f>
        <v>0</v>
      </c>
      <c r="D195" s="4" t="s">
        <v>519</v>
      </c>
      <c r="E195" s="2"/>
    </row>
    <row r="196" spans="2:5" x14ac:dyDescent="0.25">
      <c r="B196" s="1" t="s">
        <v>520</v>
      </c>
      <c r="C196" s="3">
        <f>SUM(C193:C195)</f>
        <v>4584</v>
      </c>
      <c r="D196" s="4" t="s">
        <v>521</v>
      </c>
      <c r="E196" s="2"/>
    </row>
    <row r="197" spans="2:5" x14ac:dyDescent="0.25">
      <c r="B197" s="5" t="s">
        <v>522</v>
      </c>
      <c r="C197" s="3"/>
      <c r="D197" s="4"/>
      <c r="E197" s="2"/>
    </row>
    <row r="198" spans="2:5" x14ac:dyDescent="0.25">
      <c r="B198" s="1" t="s">
        <v>523</v>
      </c>
      <c r="C198" s="3">
        <f>C193*C170/100</f>
        <v>1800</v>
      </c>
      <c r="D198" s="4" t="s">
        <v>524</v>
      </c>
      <c r="E198" s="2"/>
    </row>
    <row r="199" spans="2:5" x14ac:dyDescent="0.25">
      <c r="B199" s="1" t="s">
        <v>525</v>
      </c>
      <c r="C199" s="3">
        <f>C194*C176/100</f>
        <v>1528.8</v>
      </c>
      <c r="D199" s="4" t="s">
        <v>526</v>
      </c>
      <c r="E199" s="2"/>
    </row>
    <row r="200" spans="2:5" x14ac:dyDescent="0.25">
      <c r="B200" s="1" t="s">
        <v>527</v>
      </c>
      <c r="C200" s="3">
        <f>C195*C183/100</f>
        <v>0</v>
      </c>
      <c r="D200" s="4" t="s">
        <v>528</v>
      </c>
      <c r="E200" s="2"/>
    </row>
    <row r="201" spans="2:5" x14ac:dyDescent="0.25">
      <c r="B201" s="1" t="s">
        <v>529</v>
      </c>
      <c r="C201" s="3">
        <f>SUM(C198:C200)</f>
        <v>3328.8</v>
      </c>
      <c r="D201" s="4" t="s">
        <v>530</v>
      </c>
      <c r="E201" s="2"/>
    </row>
    <row r="202" spans="2:5" x14ac:dyDescent="0.25">
      <c r="B202" s="5" t="s">
        <v>531</v>
      </c>
      <c r="C202" s="3"/>
      <c r="D202" s="28"/>
      <c r="E202" s="2"/>
    </row>
    <row r="203" spans="2:5" x14ac:dyDescent="0.25">
      <c r="B203" s="27" t="s">
        <v>532</v>
      </c>
      <c r="C203" s="3">
        <f>C72</f>
        <v>60</v>
      </c>
      <c r="D203" s="28" t="s">
        <v>533</v>
      </c>
      <c r="E203" s="37" t="s">
        <v>534</v>
      </c>
    </row>
    <row r="204" spans="2:5" x14ac:dyDescent="0.25">
      <c r="B204" s="27" t="s">
        <v>141</v>
      </c>
      <c r="C204" s="3">
        <f>C73</f>
        <v>40</v>
      </c>
      <c r="D204" s="28" t="s">
        <v>535</v>
      </c>
      <c r="E204" s="37" t="s">
        <v>536</v>
      </c>
    </row>
    <row r="205" spans="2:5" x14ac:dyDescent="0.25">
      <c r="B205" s="27" t="s">
        <v>537</v>
      </c>
      <c r="C205" s="3">
        <f>C74</f>
        <v>85</v>
      </c>
      <c r="D205" s="28" t="s">
        <v>538</v>
      </c>
      <c r="E205" s="37" t="s">
        <v>539</v>
      </c>
    </row>
    <row r="206" spans="2:5" x14ac:dyDescent="0.25">
      <c r="B206" s="5" t="s">
        <v>540</v>
      </c>
      <c r="C206" s="3"/>
      <c r="D206" s="28"/>
      <c r="E206" s="37"/>
    </row>
    <row r="207" spans="2:5" x14ac:dyDescent="0.25">
      <c r="B207" s="27" t="s">
        <v>541</v>
      </c>
      <c r="C207" s="3">
        <f>C198*C203/100</f>
        <v>1080</v>
      </c>
      <c r="D207" s="28" t="s">
        <v>542</v>
      </c>
      <c r="E207" s="37"/>
    </row>
    <row r="208" spans="2:5" x14ac:dyDescent="0.25">
      <c r="B208" s="27" t="s">
        <v>543</v>
      </c>
      <c r="C208" s="3">
        <f t="shared" ref="C208" si="2">C199*C204/100</f>
        <v>611.52</v>
      </c>
      <c r="D208" s="28" t="s">
        <v>544</v>
      </c>
      <c r="E208" s="37"/>
    </row>
    <row r="209" spans="2:5" x14ac:dyDescent="0.25">
      <c r="B209" s="27" t="s">
        <v>545</v>
      </c>
      <c r="C209" s="3">
        <f t="shared" ref="C209" si="3">C200*C205/100</f>
        <v>0</v>
      </c>
      <c r="D209" s="28" t="s">
        <v>546</v>
      </c>
      <c r="E209" s="37"/>
    </row>
    <row r="210" spans="2:5" x14ac:dyDescent="0.25">
      <c r="B210" s="27" t="s">
        <v>547</v>
      </c>
      <c r="C210" s="3">
        <f>SUM(C207:C209)</f>
        <v>1691.52</v>
      </c>
      <c r="D210" s="28" t="s">
        <v>548</v>
      </c>
      <c r="E210" s="2"/>
    </row>
    <row r="211" spans="2:5" x14ac:dyDescent="0.25">
      <c r="B211" s="14" t="s">
        <v>549</v>
      </c>
      <c r="C211" s="44"/>
      <c r="D211" s="15"/>
      <c r="E211" s="34"/>
    </row>
    <row r="212" spans="2:5" x14ac:dyDescent="0.25">
      <c r="B212" s="27" t="s">
        <v>881</v>
      </c>
      <c r="C212" s="3">
        <f>C81</f>
        <v>23</v>
      </c>
      <c r="D212" s="28" t="s">
        <v>550</v>
      </c>
      <c r="E212" s="37" t="s">
        <v>551</v>
      </c>
    </row>
    <row r="213" spans="2:5" x14ac:dyDescent="0.25">
      <c r="B213" s="27" t="s">
        <v>552</v>
      </c>
      <c r="C213" s="3">
        <f>C196-C210</f>
        <v>2892.48</v>
      </c>
      <c r="D213" s="4" t="s">
        <v>553</v>
      </c>
      <c r="E213" s="37"/>
    </row>
    <row r="214" spans="2:5" x14ac:dyDescent="0.25">
      <c r="B214" s="27" t="s">
        <v>554</v>
      </c>
      <c r="C214" s="3">
        <f>1000*C213/C18</f>
        <v>36.155999999999999</v>
      </c>
      <c r="D214" s="4" t="s">
        <v>555</v>
      </c>
      <c r="E214" s="37"/>
    </row>
    <row r="215" spans="2:5" x14ac:dyDescent="0.25">
      <c r="B215" s="27"/>
      <c r="C215" s="3">
        <f>1000*C213/C19</f>
        <v>30.13</v>
      </c>
      <c r="D215" s="4" t="s">
        <v>556</v>
      </c>
      <c r="E215" s="37"/>
    </row>
    <row r="216" spans="2:5" x14ac:dyDescent="0.25">
      <c r="B216" s="27" t="s">
        <v>882</v>
      </c>
      <c r="C216" s="16">
        <f>C213/(C212*10)</f>
        <v>12.576000000000001</v>
      </c>
      <c r="D216" s="4" t="s">
        <v>557</v>
      </c>
      <c r="E216" s="37"/>
    </row>
    <row r="217" spans="2:5" x14ac:dyDescent="0.25">
      <c r="B217" s="27"/>
      <c r="C217" s="96">
        <f>C216*365</f>
        <v>4590.24</v>
      </c>
      <c r="D217" s="4" t="s">
        <v>558</v>
      </c>
      <c r="E217" s="37"/>
    </row>
    <row r="218" spans="2:5" x14ac:dyDescent="0.25">
      <c r="B218" s="14" t="s">
        <v>559</v>
      </c>
      <c r="C218" s="44"/>
      <c r="D218" s="15"/>
      <c r="E218" s="34"/>
    </row>
    <row r="219" spans="2:5" ht="22.5" x14ac:dyDescent="0.25">
      <c r="B219" s="1" t="s">
        <v>560</v>
      </c>
      <c r="C219" s="3">
        <f>C88</f>
        <v>20</v>
      </c>
      <c r="D219" s="2" t="s">
        <v>561</v>
      </c>
      <c r="E219" s="37" t="s">
        <v>562</v>
      </c>
    </row>
    <row r="220" spans="2:5" x14ac:dyDescent="0.25">
      <c r="B220" s="1" t="s">
        <v>563</v>
      </c>
      <c r="C220" s="3">
        <f>C219/100*C229</f>
        <v>296.928</v>
      </c>
      <c r="D220" s="4" t="s">
        <v>564</v>
      </c>
      <c r="E220" s="37"/>
    </row>
    <row r="221" spans="2:5" x14ac:dyDescent="0.25">
      <c r="B221" s="39" t="s">
        <v>565</v>
      </c>
      <c r="C221" s="6"/>
      <c r="D221" s="4"/>
      <c r="E221" s="37"/>
    </row>
    <row r="222" spans="2:5" x14ac:dyDescent="0.25">
      <c r="B222" s="1" t="s">
        <v>566</v>
      </c>
      <c r="C222" s="3">
        <f>C91</f>
        <v>950</v>
      </c>
      <c r="D222" s="28" t="s">
        <v>567</v>
      </c>
      <c r="E222" s="37" t="s">
        <v>568</v>
      </c>
    </row>
    <row r="223" spans="2:5" x14ac:dyDescent="0.25">
      <c r="B223" s="1" t="s">
        <v>142</v>
      </c>
      <c r="C223" s="3">
        <f>C92</f>
        <v>750</v>
      </c>
      <c r="D223" s="28" t="s">
        <v>569</v>
      </c>
      <c r="E223" s="37" t="s">
        <v>570</v>
      </c>
    </row>
    <row r="224" spans="2:5" x14ac:dyDescent="0.25">
      <c r="B224" s="1" t="s">
        <v>571</v>
      </c>
      <c r="C224" s="3">
        <f>C93</f>
        <v>1000</v>
      </c>
      <c r="D224" s="28" t="s">
        <v>572</v>
      </c>
      <c r="E224" s="37" t="s">
        <v>573</v>
      </c>
    </row>
    <row r="225" spans="2:5" x14ac:dyDescent="0.25">
      <c r="B225" s="39" t="s">
        <v>574</v>
      </c>
      <c r="C225" s="42"/>
      <c r="D225" s="4"/>
      <c r="E225" s="37"/>
    </row>
    <row r="226" spans="2:5" x14ac:dyDescent="0.25">
      <c r="B226" s="1" t="s">
        <v>575</v>
      </c>
      <c r="C226" s="3">
        <f t="shared" ref="C226:C228" si="4">C222/1000*C207</f>
        <v>1026</v>
      </c>
      <c r="D226" s="4" t="s">
        <v>576</v>
      </c>
      <c r="E226" s="37"/>
    </row>
    <row r="227" spans="2:5" x14ac:dyDescent="0.25">
      <c r="B227" s="1" t="s">
        <v>143</v>
      </c>
      <c r="C227" s="3">
        <f t="shared" si="4"/>
        <v>458.64</v>
      </c>
      <c r="D227" s="4" t="s">
        <v>577</v>
      </c>
      <c r="E227" s="37"/>
    </row>
    <row r="228" spans="2:5" x14ac:dyDescent="0.25">
      <c r="B228" s="1" t="s">
        <v>578</v>
      </c>
      <c r="C228" s="3">
        <f t="shared" si="4"/>
        <v>0</v>
      </c>
      <c r="D228" s="4" t="s">
        <v>579</v>
      </c>
      <c r="E228" s="37"/>
    </row>
    <row r="229" spans="2:5" x14ac:dyDescent="0.25">
      <c r="B229" s="1" t="s">
        <v>580</v>
      </c>
      <c r="C229" s="3">
        <f>SUM(C226:C228)</f>
        <v>1484.6399999999999</v>
      </c>
      <c r="D229" s="4" t="s">
        <v>581</v>
      </c>
      <c r="E229" s="37"/>
    </row>
    <row r="230" spans="2:5" x14ac:dyDescent="0.25">
      <c r="B230" s="27"/>
      <c r="C230" s="132">
        <f>C229*365</f>
        <v>541893.6</v>
      </c>
      <c r="D230" s="4" t="s">
        <v>582</v>
      </c>
      <c r="E230" s="37"/>
    </row>
    <row r="231" spans="2:5" x14ac:dyDescent="0.25">
      <c r="B231" s="27" t="s">
        <v>583</v>
      </c>
      <c r="C231" s="3">
        <f>C229*1000/C18</f>
        <v>18.557999999999996</v>
      </c>
      <c r="D231" s="4" t="s">
        <v>584</v>
      </c>
      <c r="E231" s="37"/>
    </row>
    <row r="232" spans="2:5" x14ac:dyDescent="0.25">
      <c r="B232" s="27"/>
      <c r="C232" s="3">
        <f>C229*1000/C19</f>
        <v>15.464999999999998</v>
      </c>
      <c r="D232" s="4" t="s">
        <v>585</v>
      </c>
      <c r="E232" s="37"/>
    </row>
    <row r="233" spans="2:5" x14ac:dyDescent="0.25">
      <c r="B233" s="39" t="s">
        <v>586</v>
      </c>
      <c r="C233" s="3"/>
      <c r="D233" s="4"/>
      <c r="E233" s="37"/>
    </row>
    <row r="234" spans="2:5" x14ac:dyDescent="0.25">
      <c r="B234" s="27" t="s">
        <v>172</v>
      </c>
      <c r="C234" s="3">
        <f>C104</f>
        <v>65</v>
      </c>
      <c r="D234" s="4" t="s">
        <v>587</v>
      </c>
      <c r="E234" s="37" t="s">
        <v>588</v>
      </c>
    </row>
    <row r="235" spans="2:5" ht="22.5" x14ac:dyDescent="0.25">
      <c r="B235" s="135" t="s">
        <v>866</v>
      </c>
      <c r="C235" s="3">
        <f>C105</f>
        <v>60</v>
      </c>
      <c r="D235" s="4" t="s">
        <v>589</v>
      </c>
      <c r="E235" s="37" t="s">
        <v>590</v>
      </c>
    </row>
    <row r="236" spans="2:5" x14ac:dyDescent="0.25">
      <c r="B236" s="27" t="s">
        <v>591</v>
      </c>
      <c r="C236" s="40">
        <f>((C226+C227)*C234+C228*C235)/C229</f>
        <v>65</v>
      </c>
      <c r="D236" s="4" t="s">
        <v>592</v>
      </c>
      <c r="E236" s="37"/>
    </row>
    <row r="237" spans="2:5" x14ac:dyDescent="0.25">
      <c r="B237" s="14" t="s">
        <v>593</v>
      </c>
      <c r="C237" s="44"/>
      <c r="D237" s="15"/>
      <c r="E237" s="34"/>
    </row>
    <row r="238" spans="2:5" x14ac:dyDescent="0.25">
      <c r="B238" s="1" t="s">
        <v>594</v>
      </c>
      <c r="C238" s="40">
        <f>C236/10</f>
        <v>6.5</v>
      </c>
      <c r="D238" s="4" t="s">
        <v>595</v>
      </c>
      <c r="E238" s="2"/>
    </row>
    <row r="239" spans="2:5" x14ac:dyDescent="0.25">
      <c r="B239" s="39" t="s">
        <v>111</v>
      </c>
      <c r="C239" s="3"/>
      <c r="D239" s="4"/>
      <c r="E239" s="2"/>
    </row>
    <row r="240" spans="2:5" x14ac:dyDescent="0.25">
      <c r="B240" s="1" t="s">
        <v>11</v>
      </c>
      <c r="C240" s="3">
        <f>C110</f>
        <v>30</v>
      </c>
      <c r="D240" s="4"/>
      <c r="E240" s="37" t="s">
        <v>596</v>
      </c>
    </row>
    <row r="241" spans="2:5" x14ac:dyDescent="0.25">
      <c r="B241" s="1" t="s">
        <v>171</v>
      </c>
      <c r="C241" s="3">
        <f>C238*C240/100*C229</f>
        <v>2895.0479999999998</v>
      </c>
      <c r="D241" s="4" t="s">
        <v>597</v>
      </c>
      <c r="E241" s="37"/>
    </row>
    <row r="242" spans="2:5" x14ac:dyDescent="0.25">
      <c r="B242" s="1"/>
      <c r="C242" s="16">
        <f>C241*365/C18</f>
        <v>13.2086565</v>
      </c>
      <c r="D242" s="4" t="s">
        <v>598</v>
      </c>
      <c r="E242" s="37"/>
    </row>
    <row r="243" spans="2:5" x14ac:dyDescent="0.25">
      <c r="B243" s="1"/>
      <c r="C243" s="132">
        <f>C241*365</f>
        <v>1056692.52</v>
      </c>
      <c r="D243" s="4" t="s">
        <v>599</v>
      </c>
      <c r="E243" s="37"/>
    </row>
    <row r="244" spans="2:5" ht="33.75" x14ac:dyDescent="0.25">
      <c r="B244" s="1" t="s">
        <v>144</v>
      </c>
      <c r="C244" s="160">
        <v>15</v>
      </c>
      <c r="D244" s="4" t="s">
        <v>600</v>
      </c>
      <c r="E244" s="37" t="s">
        <v>936</v>
      </c>
    </row>
    <row r="245" spans="2:5" x14ac:dyDescent="0.25">
      <c r="B245" s="1"/>
      <c r="C245" s="3">
        <f>C244*C18/365</f>
        <v>3287.6712328767121</v>
      </c>
      <c r="D245" s="4" t="s">
        <v>601</v>
      </c>
      <c r="E245" s="37"/>
    </row>
    <row r="246" spans="2:5" x14ac:dyDescent="0.25">
      <c r="B246" s="1"/>
      <c r="C246" s="96">
        <f>C245*365</f>
        <v>1200000</v>
      </c>
      <c r="D246" s="4" t="s">
        <v>602</v>
      </c>
      <c r="E246" s="37"/>
    </row>
    <row r="247" spans="2:5" ht="22.5" x14ac:dyDescent="0.25">
      <c r="B247" s="71" t="s">
        <v>603</v>
      </c>
      <c r="C247" s="97">
        <f>C243/C246</f>
        <v>0.8805771</v>
      </c>
      <c r="D247" s="4" t="s">
        <v>604</v>
      </c>
      <c r="E247" s="37"/>
    </row>
    <row r="248" spans="2:5" x14ac:dyDescent="0.25">
      <c r="B248" s="39" t="s">
        <v>112</v>
      </c>
      <c r="C248" s="3"/>
      <c r="D248" s="4"/>
      <c r="E248" s="37"/>
    </row>
    <row r="249" spans="2:5" x14ac:dyDescent="0.25">
      <c r="B249" s="1" t="s">
        <v>605</v>
      </c>
      <c r="C249" s="3">
        <f>C119</f>
        <v>50</v>
      </c>
      <c r="D249" s="4" t="s">
        <v>606</v>
      </c>
      <c r="E249" s="37" t="s">
        <v>607</v>
      </c>
    </row>
    <row r="250" spans="2:5" x14ac:dyDescent="0.25">
      <c r="B250" s="1" t="s">
        <v>608</v>
      </c>
      <c r="C250" s="3">
        <f>C238*C249/100*C229</f>
        <v>4825.08</v>
      </c>
      <c r="D250" s="4" t="s">
        <v>609</v>
      </c>
      <c r="E250" s="37"/>
    </row>
    <row r="251" spans="2:5" x14ac:dyDescent="0.25">
      <c r="B251" s="1"/>
      <c r="C251" s="96">
        <f>C250*365</f>
        <v>1761154.2</v>
      </c>
      <c r="D251" s="4" t="s">
        <v>610</v>
      </c>
      <c r="E251" s="2"/>
    </row>
    <row r="252" spans="2:5" x14ac:dyDescent="0.25">
      <c r="B252" s="14" t="s">
        <v>611</v>
      </c>
      <c r="C252" s="44"/>
      <c r="D252" s="15"/>
      <c r="E252" s="34"/>
    </row>
    <row r="253" spans="2:5" ht="22.5" x14ac:dyDescent="0.25">
      <c r="B253" s="71" t="s">
        <v>612</v>
      </c>
      <c r="C253" s="96">
        <f>'Módulo básico'!C13</f>
        <v>565</v>
      </c>
      <c r="D253" s="81" t="s">
        <v>613</v>
      </c>
      <c r="E253" s="2"/>
    </row>
    <row r="254" spans="2:5" x14ac:dyDescent="0.25">
      <c r="B254" s="1" t="s">
        <v>614</v>
      </c>
      <c r="C254" s="96">
        <f>C243</f>
        <v>1056692.52</v>
      </c>
      <c r="D254" s="4" t="s">
        <v>615</v>
      </c>
      <c r="E254" s="2"/>
    </row>
    <row r="255" spans="2:5" ht="24" x14ac:dyDescent="0.25">
      <c r="B255" s="1" t="s">
        <v>616</v>
      </c>
      <c r="C255" s="133">
        <f>-C253/1000000*C254</f>
        <v>-597.03127380000001</v>
      </c>
      <c r="D255" s="4" t="s">
        <v>617</v>
      </c>
      <c r="E255" s="2" t="s">
        <v>618</v>
      </c>
    </row>
    <row r="256" spans="2:5" ht="45" x14ac:dyDescent="0.25">
      <c r="B256" s="38" t="s">
        <v>619</v>
      </c>
      <c r="C256" s="133">
        <v>0</v>
      </c>
      <c r="D256" s="4" t="s">
        <v>620</v>
      </c>
      <c r="E256" s="2" t="s">
        <v>621</v>
      </c>
    </row>
    <row r="257" spans="2:5" x14ac:dyDescent="0.25">
      <c r="B257" s="1" t="s">
        <v>622</v>
      </c>
      <c r="C257" s="134">
        <f>SUM(C255:C256)</f>
        <v>-597.03127380000001</v>
      </c>
      <c r="D257" s="46" t="s">
        <v>623</v>
      </c>
      <c r="E257" s="2"/>
    </row>
    <row r="258" spans="2:5" x14ac:dyDescent="0.25">
      <c r="B258" s="14" t="s">
        <v>624</v>
      </c>
      <c r="C258" s="44"/>
      <c r="D258" s="15"/>
      <c r="E258" s="34"/>
    </row>
    <row r="259" spans="2:5" x14ac:dyDescent="0.25">
      <c r="B259" s="1" t="s">
        <v>625</v>
      </c>
      <c r="C259" s="52">
        <f>'Módulo básico'!C17</f>
        <v>0.15</v>
      </c>
      <c r="D259" s="4" t="s">
        <v>626</v>
      </c>
      <c r="E259" s="2"/>
    </row>
    <row r="260" spans="2:5" ht="22.5" x14ac:dyDescent="0.25">
      <c r="B260" s="1" t="s">
        <v>627</v>
      </c>
      <c r="C260" s="3">
        <f>-C241*C259</f>
        <v>-434.25719999999995</v>
      </c>
      <c r="D260" s="4" t="s">
        <v>628</v>
      </c>
      <c r="E260" s="37" t="s">
        <v>629</v>
      </c>
    </row>
    <row r="261" spans="2:5" x14ac:dyDescent="0.25">
      <c r="B261" s="1"/>
      <c r="C261" s="133">
        <f>C260*365</f>
        <v>-158503.878</v>
      </c>
      <c r="D261" s="41" t="s">
        <v>630</v>
      </c>
      <c r="E261" s="37"/>
    </row>
    <row r="262" spans="2:5" x14ac:dyDescent="0.25">
      <c r="B262" s="1" t="s">
        <v>631</v>
      </c>
      <c r="C262" s="52">
        <f>'Módulo básico'!C18</f>
        <v>10</v>
      </c>
      <c r="D262" s="4" t="s">
        <v>632</v>
      </c>
      <c r="E262" s="37"/>
    </row>
    <row r="263" spans="2:5" x14ac:dyDescent="0.25">
      <c r="B263" s="1" t="s">
        <v>633</v>
      </c>
      <c r="C263" s="16">
        <f>-(C196/C213*C216-C216)</f>
        <v>-7.3544347826086955</v>
      </c>
      <c r="D263" s="4" t="s">
        <v>634</v>
      </c>
      <c r="E263" s="37"/>
    </row>
    <row r="264" spans="2:5" x14ac:dyDescent="0.25">
      <c r="B264" s="1"/>
      <c r="C264" s="96">
        <f>C263*365</f>
        <v>-2684.3686956521738</v>
      </c>
      <c r="D264" s="4" t="s">
        <v>635</v>
      </c>
      <c r="E264" s="37"/>
    </row>
    <row r="265" spans="2:5" x14ac:dyDescent="0.25">
      <c r="B265" s="1"/>
      <c r="C265" s="133">
        <f>C264*C262</f>
        <v>-26843.686956521738</v>
      </c>
      <c r="D265" s="41" t="s">
        <v>636</v>
      </c>
      <c r="E265" s="37"/>
    </row>
    <row r="266" spans="2:5" x14ac:dyDescent="0.25">
      <c r="B266" s="27" t="s">
        <v>884</v>
      </c>
      <c r="C266" s="96">
        <f>'Módulo básico'!C19</f>
        <v>10000</v>
      </c>
      <c r="D266" s="4" t="s">
        <v>883</v>
      </c>
      <c r="E266" s="37"/>
    </row>
    <row r="267" spans="2:5" x14ac:dyDescent="0.25">
      <c r="B267" s="27"/>
      <c r="C267" s="133">
        <f>1.5*0.5*C18*C266/40000</f>
        <v>15000</v>
      </c>
      <c r="D267" s="41" t="s">
        <v>637</v>
      </c>
      <c r="E267" s="37" t="s">
        <v>638</v>
      </c>
    </row>
    <row r="268" spans="2:5" x14ac:dyDescent="0.25">
      <c r="B268" s="27" t="s">
        <v>639</v>
      </c>
      <c r="C268" s="133">
        <f>C141</f>
        <v>37353.382252430019</v>
      </c>
      <c r="D268" s="41" t="s">
        <v>640</v>
      </c>
      <c r="E268" s="37" t="s">
        <v>641</v>
      </c>
    </row>
    <row r="269" spans="2:5" x14ac:dyDescent="0.25">
      <c r="B269" s="45" t="s">
        <v>642</v>
      </c>
      <c r="C269" s="134">
        <f>C261+C265+C267+C268</f>
        <v>-132994.18270409171</v>
      </c>
      <c r="D269" s="46" t="s">
        <v>643</v>
      </c>
      <c r="E269" s="2"/>
    </row>
    <row r="270" spans="2:5" x14ac:dyDescent="0.25">
      <c r="B270" s="14" t="s">
        <v>644</v>
      </c>
      <c r="C270" s="44"/>
      <c r="D270" s="15"/>
      <c r="E270" s="34"/>
    </row>
    <row r="271" spans="2:5" x14ac:dyDescent="0.25">
      <c r="B271" s="1" t="s">
        <v>645</v>
      </c>
      <c r="C271" s="96">
        <f>IF(C158="NO",0,C159)</f>
        <v>1250</v>
      </c>
      <c r="D271" s="4" t="s">
        <v>646</v>
      </c>
      <c r="E271" s="2"/>
    </row>
    <row r="272" spans="2:5" ht="22.5" x14ac:dyDescent="0.25">
      <c r="B272" s="1" t="s">
        <v>647</v>
      </c>
      <c r="C272" s="100" t="s">
        <v>648</v>
      </c>
      <c r="D272" s="51" t="s">
        <v>649</v>
      </c>
      <c r="E272" s="2"/>
    </row>
    <row r="273" spans="2:5" x14ac:dyDescent="0.25">
      <c r="B273" s="1" t="s">
        <v>650</v>
      </c>
      <c r="C273" s="132">
        <f>C186</f>
        <v>1574.5714285714284</v>
      </c>
      <c r="D273" s="4" t="s">
        <v>651</v>
      </c>
      <c r="E273" s="2"/>
    </row>
    <row r="274" spans="2:5" x14ac:dyDescent="0.25">
      <c r="B274" s="1" t="s">
        <v>652</v>
      </c>
      <c r="C274" s="132">
        <f>C220</f>
        <v>296.928</v>
      </c>
      <c r="D274" s="4" t="s">
        <v>653</v>
      </c>
      <c r="E274" s="2"/>
    </row>
    <row r="275" spans="2:5" x14ac:dyDescent="0.25">
      <c r="B275" s="1" t="s">
        <v>874</v>
      </c>
      <c r="C275" s="132">
        <f>C241/20</f>
        <v>144.75239999999999</v>
      </c>
      <c r="D275" s="4" t="s">
        <v>654</v>
      </c>
      <c r="E275" s="2" t="s">
        <v>655</v>
      </c>
    </row>
    <row r="276" spans="2:5" x14ac:dyDescent="0.25">
      <c r="B276" s="1"/>
      <c r="C276" s="96">
        <f>C275/2</f>
        <v>72.376199999999997</v>
      </c>
      <c r="D276" s="4" t="s">
        <v>656</v>
      </c>
      <c r="E276" s="2" t="s">
        <v>657</v>
      </c>
    </row>
    <row r="277" spans="2:5" ht="22.5" x14ac:dyDescent="0.25">
      <c r="B277" s="1" t="s">
        <v>658</v>
      </c>
      <c r="C277" s="100" t="s">
        <v>659</v>
      </c>
      <c r="D277" s="51" t="s">
        <v>660</v>
      </c>
      <c r="E277" s="2"/>
    </row>
    <row r="278" spans="2:5" ht="22.5" x14ac:dyDescent="0.25">
      <c r="B278" s="17" t="s">
        <v>661</v>
      </c>
      <c r="C278" s="101" t="s">
        <v>662</v>
      </c>
      <c r="D278" s="19" t="s">
        <v>663</v>
      </c>
      <c r="E278" s="35"/>
    </row>
    <row r="280" spans="2:5" x14ac:dyDescent="0.25">
      <c r="B280" s="24" t="s">
        <v>664</v>
      </c>
      <c r="C280" s="25" t="s">
        <v>665</v>
      </c>
      <c r="D280" s="26" t="s">
        <v>666</v>
      </c>
      <c r="E280" s="36" t="s">
        <v>667</v>
      </c>
    </row>
    <row r="281" spans="2:5" x14ac:dyDescent="0.25">
      <c r="B281" s="12" t="s">
        <v>668</v>
      </c>
      <c r="C281" s="43"/>
      <c r="D281" s="13"/>
      <c r="E281" s="33"/>
    </row>
    <row r="282" spans="2:5" x14ac:dyDescent="0.25">
      <c r="B282" s="39" t="s">
        <v>147</v>
      </c>
      <c r="C282" s="16"/>
      <c r="D282" s="28"/>
      <c r="E282" s="37"/>
    </row>
    <row r="283" spans="2:5" x14ac:dyDescent="0.25">
      <c r="B283" s="1" t="s">
        <v>669</v>
      </c>
      <c r="C283" s="3">
        <f>C17</f>
        <v>4800</v>
      </c>
      <c r="D283" s="4" t="s">
        <v>670</v>
      </c>
      <c r="E283" s="37"/>
    </row>
    <row r="284" spans="2:5" x14ac:dyDescent="0.25">
      <c r="B284" s="1" t="s">
        <v>671</v>
      </c>
      <c r="C284" s="3">
        <f>C10*C13/1000</f>
        <v>4800</v>
      </c>
      <c r="D284" s="4" t="s">
        <v>672</v>
      </c>
      <c r="E284" s="37"/>
    </row>
    <row r="285" spans="2:5" x14ac:dyDescent="0.25">
      <c r="B285" s="14" t="s">
        <v>673</v>
      </c>
      <c r="C285" s="44"/>
      <c r="D285" s="15"/>
      <c r="E285" s="34"/>
    </row>
    <row r="286" spans="2:5" x14ac:dyDescent="0.25">
      <c r="B286" s="39" t="s">
        <v>674</v>
      </c>
      <c r="C286" s="16"/>
      <c r="D286" s="28"/>
      <c r="E286" s="37"/>
    </row>
    <row r="287" spans="2:5" x14ac:dyDescent="0.25">
      <c r="B287" s="1" t="s">
        <v>148</v>
      </c>
      <c r="C287" s="159">
        <v>0.3</v>
      </c>
      <c r="D287" s="4" t="s">
        <v>675</v>
      </c>
      <c r="E287" s="37" t="s">
        <v>937</v>
      </c>
    </row>
    <row r="288" spans="2:5" x14ac:dyDescent="0.25">
      <c r="B288" s="1"/>
      <c r="C288" s="3">
        <f>C287*C283</f>
        <v>1440</v>
      </c>
      <c r="D288" s="4" t="s">
        <v>676</v>
      </c>
      <c r="E288" s="37"/>
    </row>
    <row r="289" spans="2:5" x14ac:dyDescent="0.25">
      <c r="B289" s="1" t="s">
        <v>150</v>
      </c>
      <c r="C289" s="161">
        <v>3.5</v>
      </c>
      <c r="D289" s="4" t="s">
        <v>677</v>
      </c>
      <c r="E289" s="2" t="s">
        <v>938</v>
      </c>
    </row>
    <row r="290" spans="2:5" x14ac:dyDescent="0.25">
      <c r="B290" s="1" t="s">
        <v>149</v>
      </c>
      <c r="C290" s="161">
        <v>4</v>
      </c>
      <c r="D290" s="4" t="s">
        <v>678</v>
      </c>
      <c r="E290" s="2" t="s">
        <v>939</v>
      </c>
    </row>
    <row r="291" spans="2:5" x14ac:dyDescent="0.25">
      <c r="B291" s="1" t="s">
        <v>151</v>
      </c>
      <c r="C291" s="160">
        <v>56</v>
      </c>
      <c r="D291" s="4" t="s">
        <v>679</v>
      </c>
      <c r="E291" s="2" t="s">
        <v>940</v>
      </c>
    </row>
    <row r="292" spans="2:5" x14ac:dyDescent="0.25">
      <c r="B292" s="1" t="s">
        <v>886</v>
      </c>
      <c r="C292" s="16">
        <f>C288/(C290*10)</f>
        <v>36</v>
      </c>
      <c r="D292" s="4" t="s">
        <v>680</v>
      </c>
      <c r="E292" s="2"/>
    </row>
    <row r="293" spans="2:5" x14ac:dyDescent="0.25">
      <c r="B293" s="14" t="s">
        <v>681</v>
      </c>
      <c r="C293" s="44"/>
      <c r="D293" s="15"/>
      <c r="E293" s="34"/>
    </row>
    <row r="294" spans="2:5" x14ac:dyDescent="0.25">
      <c r="B294" s="27" t="s">
        <v>881</v>
      </c>
      <c r="C294" s="160">
        <v>24</v>
      </c>
      <c r="D294" s="28" t="s">
        <v>682</v>
      </c>
      <c r="E294" s="37" t="s">
        <v>941</v>
      </c>
    </row>
    <row r="295" spans="2:5" x14ac:dyDescent="0.25">
      <c r="B295" s="27" t="s">
        <v>683</v>
      </c>
      <c r="C295" s="3">
        <f>C288</f>
        <v>1440</v>
      </c>
      <c r="D295" s="4" t="s">
        <v>684</v>
      </c>
      <c r="E295" s="2"/>
    </row>
    <row r="296" spans="2:5" x14ac:dyDescent="0.25">
      <c r="B296" s="27" t="s">
        <v>685</v>
      </c>
      <c r="C296" s="3">
        <f>1000*C295/C18</f>
        <v>18</v>
      </c>
      <c r="D296" s="4" t="s">
        <v>686</v>
      </c>
      <c r="E296" s="2"/>
    </row>
    <row r="297" spans="2:5" x14ac:dyDescent="0.25">
      <c r="B297" s="27"/>
      <c r="C297" s="3">
        <f>1000*C295/C19</f>
        <v>15</v>
      </c>
      <c r="D297" s="4" t="s">
        <v>687</v>
      </c>
      <c r="E297" s="2"/>
    </row>
    <row r="298" spans="2:5" x14ac:dyDescent="0.25">
      <c r="B298" s="27" t="s">
        <v>882</v>
      </c>
      <c r="C298" s="16">
        <f>C295/(C294*10)</f>
        <v>6</v>
      </c>
      <c r="D298" s="4" t="s">
        <v>688</v>
      </c>
      <c r="E298" s="2"/>
    </row>
    <row r="299" spans="2:5" x14ac:dyDescent="0.25">
      <c r="B299" s="27"/>
      <c r="C299" s="96">
        <f>C298*365</f>
        <v>2190</v>
      </c>
      <c r="D299" s="4" t="s">
        <v>689</v>
      </c>
      <c r="E299" s="2"/>
    </row>
    <row r="300" spans="2:5" x14ac:dyDescent="0.25">
      <c r="B300" s="14" t="s">
        <v>690</v>
      </c>
      <c r="C300" s="44"/>
      <c r="D300" s="15"/>
      <c r="E300" s="34"/>
    </row>
    <row r="301" spans="2:5" ht="22.5" x14ac:dyDescent="0.25">
      <c r="B301" s="1" t="s">
        <v>691</v>
      </c>
      <c r="C301" s="3">
        <f>C88</f>
        <v>20</v>
      </c>
      <c r="D301" s="2" t="s">
        <v>692</v>
      </c>
      <c r="E301" s="37" t="s">
        <v>693</v>
      </c>
    </row>
    <row r="302" spans="2:5" x14ac:dyDescent="0.25">
      <c r="B302" s="1" t="s">
        <v>694</v>
      </c>
      <c r="C302" s="3">
        <f>C301/100*C306</f>
        <v>208.32</v>
      </c>
      <c r="D302" s="4" t="s">
        <v>695</v>
      </c>
      <c r="E302" s="2"/>
    </row>
    <row r="303" spans="2:5" x14ac:dyDescent="0.25">
      <c r="B303" s="39" t="s">
        <v>696</v>
      </c>
      <c r="C303" s="6"/>
      <c r="D303" s="4"/>
      <c r="E303" s="2"/>
    </row>
    <row r="304" spans="2:5" ht="22.5" x14ac:dyDescent="0.25">
      <c r="B304" s="38" t="s">
        <v>867</v>
      </c>
      <c r="C304" s="160">
        <v>217</v>
      </c>
      <c r="D304" s="28" t="s">
        <v>152</v>
      </c>
      <c r="E304" s="2" t="s">
        <v>942</v>
      </c>
    </row>
    <row r="305" spans="2:5" x14ac:dyDescent="0.25">
      <c r="B305" s="39" t="s">
        <v>697</v>
      </c>
      <c r="C305" s="42"/>
      <c r="D305" s="4"/>
      <c r="E305" s="2"/>
    </row>
    <row r="306" spans="2:5" x14ac:dyDescent="0.25">
      <c r="B306" s="1" t="s">
        <v>698</v>
      </c>
      <c r="C306" s="3">
        <f>C304/1000*C283</f>
        <v>1041.5999999999999</v>
      </c>
      <c r="D306" s="4" t="s">
        <v>699</v>
      </c>
      <c r="E306" s="2"/>
    </row>
    <row r="307" spans="2:5" x14ac:dyDescent="0.25">
      <c r="B307" s="27"/>
      <c r="C307" s="132">
        <f>C306*365</f>
        <v>380183.99999999994</v>
      </c>
      <c r="D307" s="4" t="s">
        <v>700</v>
      </c>
      <c r="E307" s="2"/>
    </row>
    <row r="308" spans="2:5" x14ac:dyDescent="0.25">
      <c r="B308" s="27" t="s">
        <v>701</v>
      </c>
      <c r="C308" s="3">
        <f>C306*1000/C18</f>
        <v>13.019999999999998</v>
      </c>
      <c r="D308" s="4" t="s">
        <v>702</v>
      </c>
      <c r="E308" s="2" t="s">
        <v>208</v>
      </c>
    </row>
    <row r="309" spans="2:5" x14ac:dyDescent="0.25">
      <c r="B309" s="27"/>
      <c r="C309" s="3">
        <f>C306*1000/C19</f>
        <v>10.85</v>
      </c>
      <c r="D309" s="4" t="s">
        <v>703</v>
      </c>
      <c r="E309" s="2"/>
    </row>
    <row r="310" spans="2:5" x14ac:dyDescent="0.25">
      <c r="B310" s="39" t="s">
        <v>704</v>
      </c>
      <c r="C310" s="3"/>
      <c r="D310" s="4"/>
      <c r="E310" s="2"/>
    </row>
    <row r="311" spans="2:5" x14ac:dyDescent="0.25">
      <c r="B311" s="27" t="s">
        <v>154</v>
      </c>
      <c r="C311" s="160">
        <v>65</v>
      </c>
      <c r="D311" s="4" t="s">
        <v>705</v>
      </c>
      <c r="E311" s="2" t="s">
        <v>943</v>
      </c>
    </row>
    <row r="312" spans="2:5" x14ac:dyDescent="0.25">
      <c r="B312" s="14" t="s">
        <v>706</v>
      </c>
      <c r="C312" s="44"/>
      <c r="D312" s="15"/>
      <c r="E312" s="34"/>
    </row>
    <row r="313" spans="2:5" x14ac:dyDescent="0.25">
      <c r="B313" s="1" t="s">
        <v>707</v>
      </c>
      <c r="C313" s="40">
        <f>C311/10</f>
        <v>6.5</v>
      </c>
      <c r="D313" s="4" t="s">
        <v>708</v>
      </c>
      <c r="E313" s="2"/>
    </row>
    <row r="314" spans="2:5" x14ac:dyDescent="0.25">
      <c r="B314" s="39" t="s">
        <v>709</v>
      </c>
      <c r="C314" s="3"/>
      <c r="D314" s="4"/>
      <c r="E314" s="2"/>
    </row>
    <row r="315" spans="2:5" ht="22.5" x14ac:dyDescent="0.25">
      <c r="B315" s="1" t="s">
        <v>710</v>
      </c>
      <c r="C315" s="160">
        <v>30</v>
      </c>
      <c r="D315" s="4" t="s">
        <v>711</v>
      </c>
      <c r="E315" s="2" t="s">
        <v>944</v>
      </c>
    </row>
    <row r="316" spans="2:5" x14ac:dyDescent="0.25">
      <c r="B316" s="1" t="s">
        <v>712</v>
      </c>
      <c r="C316" s="3">
        <f>C313*C315/100*C306</f>
        <v>2031.1199999999997</v>
      </c>
      <c r="D316" s="4" t="s">
        <v>713</v>
      </c>
      <c r="E316" s="2"/>
    </row>
    <row r="317" spans="2:5" x14ac:dyDescent="0.25">
      <c r="B317" s="1"/>
      <c r="C317" s="16">
        <f>C316*365/C18</f>
        <v>9.2669849999999983</v>
      </c>
      <c r="D317" s="4" t="s">
        <v>714</v>
      </c>
      <c r="E317" s="2"/>
    </row>
    <row r="318" spans="2:5" x14ac:dyDescent="0.25">
      <c r="B318" s="1"/>
      <c r="C318" s="132">
        <f>C316*365</f>
        <v>741358.79999999993</v>
      </c>
      <c r="D318" s="4" t="s">
        <v>715</v>
      </c>
      <c r="E318" s="2"/>
    </row>
    <row r="319" spans="2:5" x14ac:dyDescent="0.25">
      <c r="B319" s="1" t="s">
        <v>155</v>
      </c>
      <c r="C319" s="161">
        <v>8</v>
      </c>
      <c r="D319" s="4" t="s">
        <v>716</v>
      </c>
      <c r="E319" s="2" t="s">
        <v>945</v>
      </c>
    </row>
    <row r="320" spans="2:5" x14ac:dyDescent="0.25">
      <c r="B320" s="1"/>
      <c r="C320" s="3">
        <f>C319*C18/12/30</f>
        <v>1777.7777777777778</v>
      </c>
      <c r="D320" s="4" t="s">
        <v>717</v>
      </c>
      <c r="E320" s="2"/>
    </row>
    <row r="321" spans="2:5" x14ac:dyDescent="0.25">
      <c r="B321" s="1"/>
      <c r="C321" s="96">
        <f>C320*365</f>
        <v>648888.88888888888</v>
      </c>
      <c r="D321" s="4" t="s">
        <v>718</v>
      </c>
      <c r="E321" s="2"/>
    </row>
    <row r="322" spans="2:5" x14ac:dyDescent="0.25">
      <c r="B322" s="68" t="s">
        <v>719</v>
      </c>
      <c r="C322" s="97">
        <f>C318/C321</f>
        <v>1.1425049999999999</v>
      </c>
      <c r="D322" s="4" t="s">
        <v>720</v>
      </c>
      <c r="E322" s="2"/>
    </row>
    <row r="323" spans="2:5" x14ac:dyDescent="0.25">
      <c r="B323" s="39" t="s">
        <v>721</v>
      </c>
      <c r="C323" s="3"/>
      <c r="D323" s="4"/>
      <c r="E323" s="2"/>
    </row>
    <row r="324" spans="2:5" x14ac:dyDescent="0.25">
      <c r="B324" s="1" t="s">
        <v>722</v>
      </c>
      <c r="C324" s="160">
        <v>50</v>
      </c>
      <c r="D324" s="4" t="s">
        <v>723</v>
      </c>
      <c r="E324" s="2" t="s">
        <v>932</v>
      </c>
    </row>
    <row r="325" spans="2:5" x14ac:dyDescent="0.25">
      <c r="B325" s="1" t="s">
        <v>724</v>
      </c>
      <c r="C325" s="3">
        <f>C313*C324/100*C306</f>
        <v>3385.2</v>
      </c>
      <c r="D325" s="4" t="s">
        <v>725</v>
      </c>
      <c r="E325" s="2"/>
    </row>
    <row r="326" spans="2:5" x14ac:dyDescent="0.25">
      <c r="B326" s="1"/>
      <c r="C326" s="96">
        <f>C325*365</f>
        <v>1235598</v>
      </c>
      <c r="D326" s="4" t="s">
        <v>726</v>
      </c>
      <c r="E326" s="2"/>
    </row>
    <row r="327" spans="2:5" x14ac:dyDescent="0.25">
      <c r="B327" s="14" t="s">
        <v>727</v>
      </c>
      <c r="C327" s="44"/>
      <c r="D327" s="15"/>
      <c r="E327" s="34"/>
    </row>
    <row r="328" spans="2:5" ht="22.5" x14ac:dyDescent="0.25">
      <c r="B328" s="71" t="s">
        <v>728</v>
      </c>
      <c r="C328" s="96">
        <f>'Módulo básico'!C13</f>
        <v>565</v>
      </c>
      <c r="D328" s="81" t="s">
        <v>729</v>
      </c>
      <c r="E328" s="2"/>
    </row>
    <row r="329" spans="2:5" x14ac:dyDescent="0.25">
      <c r="B329" s="1" t="s">
        <v>730</v>
      </c>
      <c r="C329" s="96">
        <f>C318</f>
        <v>741358.79999999993</v>
      </c>
      <c r="D329" s="4" t="s">
        <v>731</v>
      </c>
      <c r="E329" s="2"/>
    </row>
    <row r="330" spans="2:5" ht="24" x14ac:dyDescent="0.25">
      <c r="B330" s="38" t="s">
        <v>732</v>
      </c>
      <c r="C330" s="133">
        <f>-C328/1000000*C329</f>
        <v>-418.86772199999996</v>
      </c>
      <c r="D330" s="4" t="s">
        <v>733</v>
      </c>
      <c r="E330" s="2" t="s">
        <v>734</v>
      </c>
    </row>
    <row r="331" spans="2:5" x14ac:dyDescent="0.25">
      <c r="B331" s="1" t="s">
        <v>224</v>
      </c>
      <c r="C331" s="96">
        <f>IF('Módulo básico'!C14="YES",C307,0)</f>
        <v>0</v>
      </c>
      <c r="D331" s="4" t="s">
        <v>735</v>
      </c>
      <c r="E331" s="2"/>
    </row>
    <row r="332" spans="2:5" x14ac:dyDescent="0.25">
      <c r="B332" s="1" t="s">
        <v>225</v>
      </c>
      <c r="C332" s="96">
        <f>C331*C311/100</f>
        <v>0</v>
      </c>
      <c r="D332" s="4" t="s">
        <v>736</v>
      </c>
      <c r="E332" s="2"/>
    </row>
    <row r="333" spans="2:5" ht="24" x14ac:dyDescent="0.25">
      <c r="B333" s="1" t="s">
        <v>226</v>
      </c>
      <c r="C333" s="163">
        <v>21</v>
      </c>
      <c r="D333" s="51" t="s">
        <v>737</v>
      </c>
      <c r="E333" s="2" t="s">
        <v>946</v>
      </c>
    </row>
    <row r="334" spans="2:5" x14ac:dyDescent="0.25">
      <c r="B334" s="1" t="s">
        <v>227</v>
      </c>
      <c r="C334" s="164">
        <v>0.72</v>
      </c>
      <c r="D334" s="51" t="s">
        <v>228</v>
      </c>
      <c r="E334" s="2" t="s">
        <v>947</v>
      </c>
    </row>
    <row r="335" spans="2:5" ht="45" x14ac:dyDescent="0.25">
      <c r="B335" s="38" t="s">
        <v>738</v>
      </c>
      <c r="C335" s="133">
        <f>-C332*C333*C334/1000</f>
        <v>0</v>
      </c>
      <c r="D335" s="4" t="s">
        <v>739</v>
      </c>
      <c r="E335" s="2" t="s">
        <v>740</v>
      </c>
    </row>
    <row r="336" spans="2:5" x14ac:dyDescent="0.25">
      <c r="B336" s="1" t="s">
        <v>741</v>
      </c>
      <c r="C336" s="134">
        <f>C330+C335</f>
        <v>-418.86772199999996</v>
      </c>
      <c r="D336" s="46" t="s">
        <v>742</v>
      </c>
      <c r="E336" s="2"/>
    </row>
    <row r="337" spans="2:5" x14ac:dyDescent="0.25">
      <c r="B337" s="14" t="s">
        <v>743</v>
      </c>
      <c r="C337" s="44"/>
      <c r="D337" s="15"/>
      <c r="E337" s="34"/>
    </row>
    <row r="338" spans="2:5" x14ac:dyDescent="0.25">
      <c r="B338" s="1" t="s">
        <v>744</v>
      </c>
      <c r="C338" s="52">
        <f>'Módulo básico'!C17</f>
        <v>0.15</v>
      </c>
      <c r="D338" s="4" t="s">
        <v>745</v>
      </c>
      <c r="E338" s="2"/>
    </row>
    <row r="339" spans="2:5" ht="22.5" x14ac:dyDescent="0.25">
      <c r="B339" s="1" t="s">
        <v>746</v>
      </c>
      <c r="C339" s="3">
        <f>-C316*C338</f>
        <v>-304.66799999999995</v>
      </c>
      <c r="D339" s="4" t="s">
        <v>747</v>
      </c>
      <c r="E339" s="37" t="s">
        <v>748</v>
      </c>
    </row>
    <row r="340" spans="2:5" x14ac:dyDescent="0.25">
      <c r="B340" s="1"/>
      <c r="C340" s="133">
        <f>C339*365</f>
        <v>-111203.81999999998</v>
      </c>
      <c r="D340" s="41" t="s">
        <v>749</v>
      </c>
      <c r="E340" s="37"/>
    </row>
    <row r="341" spans="2:5" ht="49.5" x14ac:dyDescent="0.25">
      <c r="B341" s="27" t="s">
        <v>887</v>
      </c>
      <c r="C341" s="133">
        <f>(12.321*C346^(-0.422))/100*C318</f>
        <v>17413.228746383484</v>
      </c>
      <c r="D341" s="41" t="s">
        <v>750</v>
      </c>
      <c r="E341" s="37" t="s">
        <v>209</v>
      </c>
    </row>
    <row r="342" spans="2:5" x14ac:dyDescent="0.25">
      <c r="B342" s="45" t="s">
        <v>751</v>
      </c>
      <c r="C342" s="134">
        <f>C340+C341</f>
        <v>-93790.591253616498</v>
      </c>
      <c r="D342" s="46" t="s">
        <v>752</v>
      </c>
      <c r="E342" s="2"/>
    </row>
    <row r="343" spans="2:5" x14ac:dyDescent="0.25">
      <c r="B343" s="14" t="s">
        <v>753</v>
      </c>
      <c r="C343" s="44"/>
      <c r="D343" s="15"/>
      <c r="E343" s="34"/>
    </row>
    <row r="344" spans="2:5" x14ac:dyDescent="0.25">
      <c r="B344" s="1" t="s">
        <v>754</v>
      </c>
      <c r="C344" s="132">
        <f>C302</f>
        <v>208.32</v>
      </c>
      <c r="D344" s="4" t="s">
        <v>755</v>
      </c>
      <c r="E344" s="2"/>
    </row>
    <row r="345" spans="2:5" x14ac:dyDescent="0.25">
      <c r="B345" s="1" t="s">
        <v>874</v>
      </c>
      <c r="C345" s="132">
        <f>C316/20</f>
        <v>101.55599999999998</v>
      </c>
      <c r="D345" s="4" t="s">
        <v>756</v>
      </c>
      <c r="E345" s="2" t="s">
        <v>757</v>
      </c>
    </row>
    <row r="346" spans="2:5" x14ac:dyDescent="0.25">
      <c r="B346" s="1"/>
      <c r="C346" s="96">
        <f>C345/2</f>
        <v>50.777999999999992</v>
      </c>
      <c r="D346" s="4" t="s">
        <v>758</v>
      </c>
      <c r="E346" s="2" t="s">
        <v>759</v>
      </c>
    </row>
    <row r="347" spans="2:5" ht="22.5" x14ac:dyDescent="0.25">
      <c r="B347" s="17" t="s">
        <v>760</v>
      </c>
      <c r="C347" s="101" t="s">
        <v>761</v>
      </c>
      <c r="D347" s="19" t="s">
        <v>762</v>
      </c>
      <c r="E347" s="35"/>
    </row>
    <row r="349" spans="2:5" x14ac:dyDescent="0.25">
      <c r="B349" s="24" t="s">
        <v>763</v>
      </c>
      <c r="C349" s="25" t="s">
        <v>764</v>
      </c>
      <c r="D349" s="26" t="s">
        <v>765</v>
      </c>
      <c r="E349" s="36" t="s">
        <v>766</v>
      </c>
    </row>
    <row r="350" spans="2:5" x14ac:dyDescent="0.25">
      <c r="B350" s="12" t="s">
        <v>767</v>
      </c>
      <c r="C350" s="43"/>
      <c r="D350" s="13"/>
      <c r="E350" s="33"/>
    </row>
    <row r="351" spans="2:5" x14ac:dyDescent="0.25">
      <c r="B351" s="39" t="s">
        <v>157</v>
      </c>
      <c r="C351" s="16"/>
      <c r="D351" s="28"/>
      <c r="E351" s="37"/>
    </row>
    <row r="352" spans="2:5" x14ac:dyDescent="0.25">
      <c r="B352" s="1" t="s">
        <v>768</v>
      </c>
      <c r="C352" s="3">
        <f>C17</f>
        <v>4800</v>
      </c>
      <c r="D352" s="4" t="s">
        <v>769</v>
      </c>
      <c r="E352" s="37"/>
    </row>
    <row r="353" spans="2:5" x14ac:dyDescent="0.25">
      <c r="B353" s="1" t="s">
        <v>770</v>
      </c>
      <c r="C353" s="3">
        <f>C10*C13/1000</f>
        <v>4800</v>
      </c>
      <c r="D353" s="4" t="s">
        <v>771</v>
      </c>
      <c r="E353" s="37"/>
    </row>
    <row r="354" spans="2:5" x14ac:dyDescent="0.25">
      <c r="B354" s="14" t="s">
        <v>772</v>
      </c>
      <c r="C354" s="44"/>
      <c r="D354" s="15"/>
      <c r="E354" s="34"/>
    </row>
    <row r="355" spans="2:5" x14ac:dyDescent="0.25">
      <c r="B355" s="39" t="s">
        <v>773</v>
      </c>
      <c r="C355" s="16"/>
      <c r="D355" s="28"/>
      <c r="E355" s="37"/>
    </row>
    <row r="356" spans="2:5" x14ac:dyDescent="0.25">
      <c r="B356" s="1" t="s">
        <v>159</v>
      </c>
      <c r="C356" s="159">
        <v>6</v>
      </c>
      <c r="D356" s="4" t="s">
        <v>158</v>
      </c>
      <c r="E356" s="2" t="s">
        <v>948</v>
      </c>
    </row>
    <row r="357" spans="2:5" x14ac:dyDescent="0.25">
      <c r="B357" s="1"/>
      <c r="C357" s="3">
        <f>C356*C19/365</f>
        <v>1578.0821917808219</v>
      </c>
      <c r="D357" s="4" t="s">
        <v>774</v>
      </c>
      <c r="E357" s="2"/>
    </row>
    <row r="358" spans="2:5" x14ac:dyDescent="0.25">
      <c r="B358" s="1" t="s">
        <v>160</v>
      </c>
      <c r="C358" s="161">
        <v>6</v>
      </c>
      <c r="D358" s="4" t="s">
        <v>775</v>
      </c>
      <c r="E358" s="2" t="s">
        <v>949</v>
      </c>
    </row>
    <row r="359" spans="2:5" x14ac:dyDescent="0.25">
      <c r="B359" s="1" t="s">
        <v>161</v>
      </c>
      <c r="C359" s="160">
        <v>55</v>
      </c>
      <c r="D359" s="4" t="s">
        <v>776</v>
      </c>
      <c r="E359" s="2" t="s">
        <v>950</v>
      </c>
    </row>
    <row r="360" spans="2:5" x14ac:dyDescent="0.25">
      <c r="B360" s="1" t="s">
        <v>888</v>
      </c>
      <c r="C360" s="16">
        <f>C357/(C358*10)</f>
        <v>26.301369863013697</v>
      </c>
      <c r="D360" s="4" t="s">
        <v>777</v>
      </c>
      <c r="E360" s="2"/>
    </row>
    <row r="361" spans="2:5" x14ac:dyDescent="0.25">
      <c r="B361" s="14" t="s">
        <v>778</v>
      </c>
      <c r="C361" s="44"/>
      <c r="D361" s="15"/>
      <c r="E361" s="34"/>
    </row>
    <row r="362" spans="2:5" x14ac:dyDescent="0.25">
      <c r="B362" s="27" t="s">
        <v>889</v>
      </c>
      <c r="C362" s="160">
        <v>25</v>
      </c>
      <c r="D362" s="28" t="s">
        <v>779</v>
      </c>
      <c r="E362" s="37" t="s">
        <v>951</v>
      </c>
    </row>
    <row r="363" spans="2:5" x14ac:dyDescent="0.25">
      <c r="B363" s="27" t="s">
        <v>780</v>
      </c>
      <c r="C363" s="3">
        <f>C357</f>
        <v>1578.0821917808219</v>
      </c>
      <c r="D363" s="4" t="s">
        <v>781</v>
      </c>
      <c r="E363" s="2"/>
    </row>
    <row r="364" spans="2:5" x14ac:dyDescent="0.25">
      <c r="B364" s="27" t="s">
        <v>782</v>
      </c>
      <c r="C364" s="3">
        <f>1000*C363/C18</f>
        <v>19.726027397260275</v>
      </c>
      <c r="D364" s="4" t="s">
        <v>783</v>
      </c>
      <c r="E364" s="2"/>
    </row>
    <row r="365" spans="2:5" x14ac:dyDescent="0.25">
      <c r="B365" s="27"/>
      <c r="C365" s="3">
        <f>1000*C363/C19</f>
        <v>16.43835616438356</v>
      </c>
      <c r="D365" s="4" t="s">
        <v>784</v>
      </c>
      <c r="E365" s="2"/>
    </row>
    <row r="366" spans="2:5" x14ac:dyDescent="0.25">
      <c r="B366" s="27" t="s">
        <v>882</v>
      </c>
      <c r="C366" s="16">
        <f>C363/(C362*10)</f>
        <v>6.3123287671232875</v>
      </c>
      <c r="D366" s="4" t="s">
        <v>785</v>
      </c>
      <c r="E366" s="2"/>
    </row>
    <row r="367" spans="2:5" x14ac:dyDescent="0.25">
      <c r="B367" s="27"/>
      <c r="C367" s="96">
        <f>C366*365</f>
        <v>2304</v>
      </c>
      <c r="D367" s="4" t="s">
        <v>786</v>
      </c>
      <c r="E367" s="2"/>
    </row>
    <row r="368" spans="2:5" x14ac:dyDescent="0.25">
      <c r="B368" s="14" t="s">
        <v>787</v>
      </c>
      <c r="C368" s="44"/>
      <c r="D368" s="15"/>
      <c r="E368" s="34"/>
    </row>
    <row r="369" spans="2:5" x14ac:dyDescent="0.25">
      <c r="B369" s="39" t="s">
        <v>788</v>
      </c>
      <c r="C369" s="6"/>
      <c r="D369" s="4"/>
      <c r="E369" s="2"/>
    </row>
    <row r="370" spans="2:5" ht="22.5" x14ac:dyDescent="0.25">
      <c r="B370" s="136" t="s">
        <v>868</v>
      </c>
      <c r="C370" s="160">
        <v>180</v>
      </c>
      <c r="D370" s="4" t="s">
        <v>162</v>
      </c>
      <c r="E370" s="2" t="s">
        <v>952</v>
      </c>
    </row>
    <row r="371" spans="2:5" ht="22.5" x14ac:dyDescent="0.25">
      <c r="B371" s="38" t="s">
        <v>869</v>
      </c>
      <c r="C371" s="42">
        <f>C370/(C379/100)</f>
        <v>257.14285714285717</v>
      </c>
      <c r="D371" s="28" t="s">
        <v>789</v>
      </c>
      <c r="E371" s="2" t="s">
        <v>211</v>
      </c>
    </row>
    <row r="372" spans="2:5" x14ac:dyDescent="0.25">
      <c r="B372" s="39" t="s">
        <v>790</v>
      </c>
      <c r="C372" s="42"/>
      <c r="D372" s="4"/>
      <c r="E372" s="2"/>
    </row>
    <row r="373" spans="2:5" x14ac:dyDescent="0.25">
      <c r="B373" s="1" t="s">
        <v>163</v>
      </c>
      <c r="C373" s="3">
        <f>C370/1000*C352</f>
        <v>864</v>
      </c>
      <c r="D373" s="4" t="s">
        <v>791</v>
      </c>
      <c r="E373" s="2"/>
    </row>
    <row r="374" spans="2:5" x14ac:dyDescent="0.25">
      <c r="B374" s="1" t="s">
        <v>792</v>
      </c>
      <c r="C374" s="3">
        <f>C373/(C379/100)</f>
        <v>1234.2857142857144</v>
      </c>
      <c r="D374" s="4" t="s">
        <v>793</v>
      </c>
      <c r="E374" s="2"/>
    </row>
    <row r="375" spans="2:5" x14ac:dyDescent="0.25">
      <c r="B375" s="27"/>
      <c r="C375" s="132">
        <f>C374*365</f>
        <v>450514.2857142858</v>
      </c>
      <c r="D375" s="4" t="s">
        <v>794</v>
      </c>
      <c r="E375" s="2"/>
    </row>
    <row r="376" spans="2:5" x14ac:dyDescent="0.25">
      <c r="B376" s="27" t="s">
        <v>795</v>
      </c>
      <c r="C376" s="3">
        <f>C374*1000/C18</f>
        <v>15.428571428571432</v>
      </c>
      <c r="D376" s="4" t="s">
        <v>796</v>
      </c>
      <c r="E376" s="2" t="s">
        <v>210</v>
      </c>
    </row>
    <row r="377" spans="2:5" x14ac:dyDescent="0.25">
      <c r="B377" s="27"/>
      <c r="C377" s="3">
        <f>C374*1000/C19</f>
        <v>12.857142857142859</v>
      </c>
      <c r="D377" s="4" t="s">
        <v>797</v>
      </c>
      <c r="E377" s="2"/>
    </row>
    <row r="378" spans="2:5" x14ac:dyDescent="0.25">
      <c r="B378" s="39" t="s">
        <v>798</v>
      </c>
      <c r="C378" s="3"/>
      <c r="D378" s="4"/>
      <c r="E378" s="2"/>
    </row>
    <row r="379" spans="2:5" x14ac:dyDescent="0.25">
      <c r="B379" s="27" t="s">
        <v>230</v>
      </c>
      <c r="C379" s="160">
        <v>70</v>
      </c>
      <c r="D379" s="4" t="s">
        <v>799</v>
      </c>
      <c r="E379" s="2" t="s">
        <v>953</v>
      </c>
    </row>
    <row r="380" spans="2:5" x14ac:dyDescent="0.25">
      <c r="B380" s="14" t="s">
        <v>800</v>
      </c>
      <c r="C380" s="44"/>
      <c r="D380" s="15"/>
      <c r="E380" s="34"/>
    </row>
    <row r="381" spans="2:5" x14ac:dyDescent="0.25">
      <c r="B381" s="1" t="s">
        <v>801</v>
      </c>
      <c r="C381" s="40">
        <f>C379/10</f>
        <v>7</v>
      </c>
      <c r="D381" s="4" t="s">
        <v>802</v>
      </c>
      <c r="E381" s="2"/>
    </row>
    <row r="382" spans="2:5" x14ac:dyDescent="0.25">
      <c r="B382" s="39" t="s">
        <v>803</v>
      </c>
      <c r="C382" s="3"/>
      <c r="D382" s="4"/>
      <c r="E382" s="2"/>
    </row>
    <row r="383" spans="2:5" ht="22.5" x14ac:dyDescent="0.25">
      <c r="B383" s="1" t="s">
        <v>804</v>
      </c>
      <c r="C383" s="160">
        <v>30</v>
      </c>
      <c r="D383" s="4" t="s">
        <v>805</v>
      </c>
      <c r="E383" s="2" t="s">
        <v>944</v>
      </c>
    </row>
    <row r="384" spans="2:5" x14ac:dyDescent="0.25">
      <c r="B384" s="1" t="s">
        <v>806</v>
      </c>
      <c r="C384" s="3">
        <f>C381*C383/100*C374</f>
        <v>2592.0000000000005</v>
      </c>
      <c r="D384" s="4" t="s">
        <v>807</v>
      </c>
      <c r="E384" s="2"/>
    </row>
    <row r="385" spans="2:5" x14ac:dyDescent="0.25">
      <c r="B385" s="1"/>
      <c r="C385" s="16">
        <f>C384*365/C18</f>
        <v>11.826000000000002</v>
      </c>
      <c r="D385" s="4" t="s">
        <v>808</v>
      </c>
      <c r="E385" s="2"/>
    </row>
    <row r="386" spans="2:5" x14ac:dyDescent="0.25">
      <c r="B386" s="1"/>
      <c r="C386" s="132">
        <f>C384*365</f>
        <v>946080.00000000012</v>
      </c>
      <c r="D386" s="4" t="s">
        <v>809</v>
      </c>
      <c r="E386" s="2"/>
    </row>
    <row r="387" spans="2:5" ht="22.5" x14ac:dyDescent="0.25">
      <c r="B387" s="1" t="s">
        <v>164</v>
      </c>
      <c r="C387" s="160">
        <v>3</v>
      </c>
      <c r="D387" s="4" t="s">
        <v>810</v>
      </c>
      <c r="E387" s="2" t="s">
        <v>954</v>
      </c>
    </row>
    <row r="388" spans="2:5" x14ac:dyDescent="0.25">
      <c r="B388" s="1"/>
      <c r="C388" s="3">
        <f>C387*C18/12/30</f>
        <v>666.66666666666663</v>
      </c>
      <c r="D388" s="4" t="s">
        <v>811</v>
      </c>
      <c r="E388" s="2"/>
    </row>
    <row r="389" spans="2:5" x14ac:dyDescent="0.25">
      <c r="B389" s="1"/>
      <c r="C389" s="96">
        <f>C388*365</f>
        <v>243333.33333333331</v>
      </c>
      <c r="D389" s="4" t="s">
        <v>812</v>
      </c>
      <c r="E389" s="2"/>
    </row>
    <row r="390" spans="2:5" x14ac:dyDescent="0.25">
      <c r="B390" s="68" t="s">
        <v>813</v>
      </c>
      <c r="C390" s="97">
        <f>C386/C389</f>
        <v>3.8880000000000008</v>
      </c>
      <c r="D390" s="4" t="s">
        <v>814</v>
      </c>
      <c r="E390" s="2"/>
    </row>
    <row r="391" spans="2:5" x14ac:dyDescent="0.25">
      <c r="B391" s="39" t="s">
        <v>815</v>
      </c>
      <c r="C391" s="3"/>
      <c r="D391" s="4"/>
      <c r="E391" s="2"/>
    </row>
    <row r="392" spans="2:5" x14ac:dyDescent="0.25">
      <c r="B392" s="1" t="s">
        <v>816</v>
      </c>
      <c r="C392" s="160">
        <v>50</v>
      </c>
      <c r="D392" s="4" t="s">
        <v>817</v>
      </c>
      <c r="E392" s="2" t="s">
        <v>932</v>
      </c>
    </row>
    <row r="393" spans="2:5" x14ac:dyDescent="0.25">
      <c r="B393" s="1" t="s">
        <v>818</v>
      </c>
      <c r="C393" s="3">
        <f>C381*C392/100*C374</f>
        <v>4320.0000000000009</v>
      </c>
      <c r="D393" s="4" t="s">
        <v>819</v>
      </c>
      <c r="E393" s="2"/>
    </row>
    <row r="394" spans="2:5" x14ac:dyDescent="0.25">
      <c r="B394" s="1"/>
      <c r="C394" s="96">
        <f>C393*365</f>
        <v>1576800.0000000002</v>
      </c>
      <c r="D394" s="4" t="s">
        <v>820</v>
      </c>
      <c r="E394" s="2"/>
    </row>
    <row r="395" spans="2:5" x14ac:dyDescent="0.25">
      <c r="B395" s="14" t="s">
        <v>821</v>
      </c>
      <c r="C395" s="44"/>
      <c r="D395" s="15"/>
      <c r="E395" s="34"/>
    </row>
    <row r="396" spans="2:5" ht="22.5" x14ac:dyDescent="0.25">
      <c r="B396" s="71" t="s">
        <v>822</v>
      </c>
      <c r="C396" s="96">
        <f>'Módulo básico'!C13</f>
        <v>565</v>
      </c>
      <c r="D396" s="81" t="s">
        <v>823</v>
      </c>
      <c r="E396" s="2"/>
    </row>
    <row r="397" spans="2:5" x14ac:dyDescent="0.25">
      <c r="B397" s="1" t="s">
        <v>824</v>
      </c>
      <c r="C397" s="96">
        <f>C386</f>
        <v>946080.00000000012</v>
      </c>
      <c r="D397" s="4" t="s">
        <v>825</v>
      </c>
      <c r="E397" s="2"/>
    </row>
    <row r="398" spans="2:5" ht="24" x14ac:dyDescent="0.25">
      <c r="B398" s="38" t="s">
        <v>826</v>
      </c>
      <c r="C398" s="133">
        <f>-C396/1000000*C397</f>
        <v>-534.53520000000003</v>
      </c>
      <c r="D398" s="4" t="s">
        <v>827</v>
      </c>
      <c r="E398" s="2" t="s">
        <v>828</v>
      </c>
    </row>
    <row r="399" spans="2:5" x14ac:dyDescent="0.25">
      <c r="B399" s="1" t="s">
        <v>829</v>
      </c>
      <c r="C399" s="96">
        <f>IF('Módulo básico'!C15="YES",C375,0)</f>
        <v>0</v>
      </c>
      <c r="D399" s="4" t="s">
        <v>830</v>
      </c>
      <c r="E399" s="2"/>
    </row>
    <row r="400" spans="2:5" x14ac:dyDescent="0.25">
      <c r="B400" s="1" t="s">
        <v>831</v>
      </c>
      <c r="C400" s="96">
        <f>C399*C379/100</f>
        <v>0</v>
      </c>
      <c r="D400" s="4" t="s">
        <v>832</v>
      </c>
      <c r="E400" s="2"/>
    </row>
    <row r="401" spans="2:5" ht="24" x14ac:dyDescent="0.25">
      <c r="B401" s="1" t="s">
        <v>833</v>
      </c>
      <c r="C401" s="163">
        <v>21</v>
      </c>
      <c r="D401" s="51" t="s">
        <v>834</v>
      </c>
      <c r="E401" s="2" t="s">
        <v>946</v>
      </c>
    </row>
    <row r="402" spans="2:5" x14ac:dyDescent="0.25">
      <c r="B402" s="1" t="s">
        <v>835</v>
      </c>
      <c r="C402" s="164">
        <v>0.72</v>
      </c>
      <c r="D402" s="51" t="s">
        <v>836</v>
      </c>
      <c r="E402" s="2" t="s">
        <v>947</v>
      </c>
    </row>
    <row r="403" spans="2:5" ht="45" x14ac:dyDescent="0.25">
      <c r="B403" s="38" t="s">
        <v>244</v>
      </c>
      <c r="C403" s="133">
        <f>-C400*C401*C402/1000</f>
        <v>0</v>
      </c>
      <c r="D403" s="4" t="s">
        <v>837</v>
      </c>
      <c r="E403" s="2" t="s">
        <v>838</v>
      </c>
    </row>
    <row r="404" spans="2:5" x14ac:dyDescent="0.25">
      <c r="B404" s="1" t="s">
        <v>839</v>
      </c>
      <c r="C404" s="134">
        <f>C398+C403</f>
        <v>-534.53520000000003</v>
      </c>
      <c r="D404" s="46" t="s">
        <v>840</v>
      </c>
      <c r="E404" s="2"/>
    </row>
    <row r="405" spans="2:5" x14ac:dyDescent="0.25">
      <c r="B405" s="14" t="s">
        <v>841</v>
      </c>
      <c r="C405" s="44"/>
      <c r="D405" s="15"/>
      <c r="E405" s="34"/>
    </row>
    <row r="406" spans="2:5" x14ac:dyDescent="0.25">
      <c r="B406" s="1" t="s">
        <v>842</v>
      </c>
      <c r="C406" s="52">
        <f>'Módulo básico'!C17</f>
        <v>0.15</v>
      </c>
      <c r="D406" s="4" t="s">
        <v>843</v>
      </c>
      <c r="E406" s="2"/>
    </row>
    <row r="407" spans="2:5" ht="22.5" x14ac:dyDescent="0.25">
      <c r="B407" s="1" t="s">
        <v>844</v>
      </c>
      <c r="C407" s="3">
        <f>-C384*C406</f>
        <v>-388.80000000000007</v>
      </c>
      <c r="D407" s="4" t="s">
        <v>845</v>
      </c>
      <c r="E407" s="37" t="s">
        <v>846</v>
      </c>
    </row>
    <row r="408" spans="2:5" x14ac:dyDescent="0.25">
      <c r="B408" s="1"/>
      <c r="C408" s="133">
        <f>C407*365</f>
        <v>-141912.00000000003</v>
      </c>
      <c r="D408" s="41" t="s">
        <v>847</v>
      </c>
      <c r="E408" s="37"/>
    </row>
    <row r="409" spans="2:5" ht="49.5" x14ac:dyDescent="0.25">
      <c r="B409" s="27" t="s">
        <v>887</v>
      </c>
      <c r="C409" s="133">
        <f>(12.321*C415^(-0.422))/100*C386</f>
        <v>20048.836158492071</v>
      </c>
      <c r="D409" s="41" t="s">
        <v>848</v>
      </c>
      <c r="E409" s="37" t="s">
        <v>849</v>
      </c>
    </row>
    <row r="410" spans="2:5" ht="46.5" x14ac:dyDescent="0.25">
      <c r="B410" s="135" t="s">
        <v>890</v>
      </c>
      <c r="C410" s="133">
        <f>2*C10/5*15*0.02</f>
        <v>4800</v>
      </c>
      <c r="D410" s="41" t="s">
        <v>850</v>
      </c>
      <c r="E410" s="37" t="s">
        <v>891</v>
      </c>
    </row>
    <row r="411" spans="2:5" x14ac:dyDescent="0.25">
      <c r="B411" s="45" t="s">
        <v>851</v>
      </c>
      <c r="C411" s="134">
        <f>C408+C409+C410</f>
        <v>-117063.16384150795</v>
      </c>
      <c r="D411" s="46" t="s">
        <v>852</v>
      </c>
      <c r="E411" s="2"/>
    </row>
    <row r="412" spans="2:5" x14ac:dyDescent="0.25">
      <c r="B412" s="14" t="s">
        <v>853</v>
      </c>
      <c r="C412" s="44"/>
      <c r="D412" s="15"/>
      <c r="E412" s="34"/>
    </row>
    <row r="413" spans="2:5" ht="22.5" x14ac:dyDescent="0.25">
      <c r="B413" s="1" t="s">
        <v>165</v>
      </c>
      <c r="C413" s="100" t="s">
        <v>166</v>
      </c>
      <c r="D413" s="4" t="s">
        <v>167</v>
      </c>
      <c r="E413" s="2"/>
    </row>
    <row r="414" spans="2:5" x14ac:dyDescent="0.25">
      <c r="B414" s="1" t="s">
        <v>874</v>
      </c>
      <c r="C414" s="132">
        <f>C384/20</f>
        <v>129.60000000000002</v>
      </c>
      <c r="D414" s="4" t="s">
        <v>854</v>
      </c>
      <c r="E414" s="2" t="s">
        <v>855</v>
      </c>
    </row>
    <row r="415" spans="2:5" x14ac:dyDescent="0.25">
      <c r="B415" s="1"/>
      <c r="C415" s="96">
        <f>C414/2</f>
        <v>64.800000000000011</v>
      </c>
      <c r="D415" s="4" t="s">
        <v>856</v>
      </c>
      <c r="E415" s="2" t="s">
        <v>857</v>
      </c>
    </row>
    <row r="416" spans="2:5" ht="22.5" x14ac:dyDescent="0.25">
      <c r="B416" s="1" t="s">
        <v>858</v>
      </c>
      <c r="C416" s="100" t="s">
        <v>859</v>
      </c>
      <c r="D416" s="51" t="s">
        <v>860</v>
      </c>
      <c r="E416" s="2"/>
    </row>
    <row r="417" spans="2:5" ht="22.5" x14ac:dyDescent="0.25">
      <c r="B417" s="17" t="s">
        <v>861</v>
      </c>
      <c r="C417" s="101" t="s">
        <v>862</v>
      </c>
      <c r="D417" s="19" t="s">
        <v>863</v>
      </c>
      <c r="E417" s="35"/>
    </row>
    <row r="419" spans="2:5" x14ac:dyDescent="0.25">
      <c r="B419" s="170" t="s">
        <v>903</v>
      </c>
    </row>
    <row r="420" spans="2:5" x14ac:dyDescent="0.25">
      <c r="B420" s="176" t="s">
        <v>894</v>
      </c>
      <c r="C420" s="176"/>
      <c r="D420" s="176"/>
      <c r="E420" s="176"/>
    </row>
    <row r="421" spans="2:5" ht="30" customHeight="1" x14ac:dyDescent="0.25">
      <c r="B421" s="176" t="s">
        <v>895</v>
      </c>
      <c r="C421" s="176"/>
      <c r="D421" s="176"/>
      <c r="E421" s="176"/>
    </row>
    <row r="422" spans="2:5" x14ac:dyDescent="0.25">
      <c r="B422" s="176" t="s">
        <v>896</v>
      </c>
      <c r="C422" s="176"/>
      <c r="D422" s="176"/>
      <c r="E422" s="176"/>
    </row>
    <row r="423" spans="2:5" ht="30" customHeight="1" x14ac:dyDescent="0.25">
      <c r="B423" s="176" t="s">
        <v>897</v>
      </c>
      <c r="C423" s="176"/>
      <c r="D423" s="176"/>
      <c r="E423" s="176"/>
    </row>
    <row r="424" spans="2:5" x14ac:dyDescent="0.25">
      <c r="B424" s="176" t="s">
        <v>898</v>
      </c>
      <c r="C424" s="176"/>
      <c r="D424" s="176"/>
      <c r="E424" s="176"/>
    </row>
    <row r="425" spans="2:5" x14ac:dyDescent="0.25">
      <c r="B425" s="176" t="s">
        <v>899</v>
      </c>
      <c r="C425" s="176"/>
      <c r="D425" s="176"/>
      <c r="E425" s="176"/>
    </row>
    <row r="426" spans="2:5" x14ac:dyDescent="0.25">
      <c r="B426" s="176" t="s">
        <v>900</v>
      </c>
      <c r="C426" s="176"/>
      <c r="D426" s="176"/>
      <c r="E426" s="176"/>
    </row>
    <row r="427" spans="2:5" ht="30" customHeight="1" x14ac:dyDescent="0.25">
      <c r="B427" s="176" t="s">
        <v>904</v>
      </c>
      <c r="C427" s="176"/>
      <c r="D427" s="176"/>
      <c r="E427" s="176"/>
    </row>
    <row r="428" spans="2:5" ht="30" customHeight="1" x14ac:dyDescent="0.25">
      <c r="B428" s="176" t="s">
        <v>905</v>
      </c>
      <c r="C428" s="176"/>
      <c r="D428" s="176"/>
      <c r="E428" s="176"/>
    </row>
    <row r="429" spans="2:5" ht="30" customHeight="1" x14ac:dyDescent="0.25">
      <c r="B429" s="176" t="s">
        <v>906</v>
      </c>
      <c r="C429" s="176"/>
      <c r="D429" s="176"/>
      <c r="E429" s="176"/>
    </row>
    <row r="430" spans="2:5" ht="30" customHeight="1" x14ac:dyDescent="0.25">
      <c r="B430" s="176" t="s">
        <v>901</v>
      </c>
      <c r="C430" s="176"/>
      <c r="D430" s="176"/>
      <c r="E430" s="176"/>
    </row>
    <row r="431" spans="2:5" ht="30" customHeight="1" x14ac:dyDescent="0.25">
      <c r="B431" s="176" t="s">
        <v>907</v>
      </c>
      <c r="C431" s="176"/>
      <c r="D431" s="176"/>
      <c r="E431" s="176"/>
    </row>
    <row r="432" spans="2:5" x14ac:dyDescent="0.25">
      <c r="B432" s="176" t="s">
        <v>902</v>
      </c>
      <c r="C432" s="176"/>
      <c r="D432" s="176"/>
      <c r="E432" s="176"/>
    </row>
    <row r="434" spans="2:2" x14ac:dyDescent="0.25">
      <c r="B434" s="8" t="s">
        <v>183</v>
      </c>
    </row>
  </sheetData>
  <sheetProtection algorithmName="SHA-512" hashValue="UfUjSA3rRW7JaeUnl0gbEVgixsrLjuiVDSJC1hDlQjIVVZiHRSbJKU1bTrBo9JcvhOLD5Jo96c7Rc3l5lis/yQ==" saltValue="Cta26R5ggbseWUp6LOZkug==" spinCount="100000" sheet="1" objects="1" scenarios="1"/>
  <mergeCells count="13">
    <mergeCell ref="B425:E425"/>
    <mergeCell ref="B420:E420"/>
    <mergeCell ref="B421:E421"/>
    <mergeCell ref="B422:E422"/>
    <mergeCell ref="B423:E423"/>
    <mergeCell ref="B424:E424"/>
    <mergeCell ref="B432:E432"/>
    <mergeCell ref="B426:E426"/>
    <mergeCell ref="B427:E427"/>
    <mergeCell ref="B428:E428"/>
    <mergeCell ref="B429:E429"/>
    <mergeCell ref="B430:E430"/>
    <mergeCell ref="B431:E431"/>
  </mergeCells>
  <dataValidations count="8">
    <dataValidation type="list" errorStyle="information" showInputMessage="1" showErrorMessage="1" error="Typical vaue: 40-60" prompt="Insert default value" sqref="C16">
      <formula1>gBOD5capd</formula1>
    </dataValidation>
    <dataValidation type="list" errorStyle="information" allowBlank="1" showInputMessage="1" showErrorMessage="1" error="Typical value: 30-97" prompt="Insert default value" sqref="C49">
      <formula1>VSDS</formula1>
    </dataValidation>
    <dataValidation type="list" errorStyle="information" allowBlank="1" showInputMessage="1" showErrorMessage="1" error="Typical value: 60-99" prompt="Insert default value" sqref="C74">
      <formula1>VSdestruction</formula1>
    </dataValidation>
    <dataValidation type="list" errorStyle="information" allowBlank="1" showInputMessage="1" showErrorMessage="1" error="Typical value: 50-85" prompt="Insert default value" sqref="C105">
      <formula1>methanecontent</formula1>
    </dataValidation>
    <dataValidation type="list" errorStyle="information" allowBlank="1" showInputMessage="1" showErrorMessage="1" error="Typical value: 700-2000" prompt="Insert default value" sqref="C93">
      <formula1>$O$93:$O$95</formula1>
    </dataValidation>
    <dataValidation type="list" errorStyle="information" allowBlank="1" showInputMessage="1" showErrorMessage="1" error="Typical range: 5-95" prompt="Insert default value" sqref="C48">
      <formula1>$O$48:$O$50</formula1>
    </dataValidation>
    <dataValidation type="list" errorStyle="information" allowBlank="1" showInputMessage="1" showErrorMessage="1" error="Insert &quot;YES&quot; or &quot;NO&quot;" prompt="Insert default value" sqref="C45 C51">
      <formula1>$O$45:$O$46</formula1>
    </dataValidation>
    <dataValidation type="list" allowBlank="1" showInputMessage="1" showErrorMessage="1" error="Select &quot;YES&quot; or &quot;NO&quot;" prompt="Insert default value" sqref="C24 C158">
      <formula1>$O$24:$O$25</formula1>
    </dataValidation>
  </dataValidations>
  <pageMargins left="0.70866141732283472" right="0.70866141732283472" top="0.59055118110236227" bottom="0.39370078740157483" header="0.31496062992125984" footer="0.31496062992125984"/>
  <pageSetup paperSize="9" scale="64" orientation="portrait" r:id="rId1"/>
  <rowBreaks count="5" manualBreakCount="5">
    <brk id="69" min="1" max="4" man="1"/>
    <brk id="138" min="1" max="4" man="1"/>
    <brk id="204" min="1" max="4" man="1"/>
    <brk id="278" min="1" max="4" man="1"/>
    <brk id="350" min="1" max="4" man="1"/>
  </rowBreaks>
  <drawing r:id="rId2"/>
  <legacyDrawing r:id="rId3"/>
  <oleObjects>
    <mc:AlternateContent xmlns:mc="http://schemas.openxmlformats.org/markup-compatibility/2006">
      <mc:Choice Requires="x14">
        <oleObject progId="AcroExch.Document.DC" dvAspect="DVASPECT_ICON" shapeId="2051" r:id="rId4">
          <objectPr locked="0" defaultSize="0" autoPict="0" r:id="rId5">
            <anchor moveWithCells="1">
              <from>
                <xdr:col>5</xdr:col>
                <xdr:colOff>76200</xdr:colOff>
                <xdr:row>1</xdr:row>
                <xdr:rowOff>19050</xdr:rowOff>
              </from>
              <to>
                <xdr:col>5</xdr:col>
                <xdr:colOff>1352550</xdr:colOff>
                <xdr:row>5</xdr:row>
                <xdr:rowOff>171450</xdr:rowOff>
              </to>
            </anchor>
          </objectPr>
        </oleObject>
      </mc:Choice>
      <mc:Fallback>
        <oleObject progId="AcroExch.Document.DC" dvAspect="DVASPECT_ICON" shapeId="2051" r:id="rId4"/>
      </mc:Fallback>
    </mc:AlternateContent>
  </oleObjects>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3</vt:i4>
      </vt:variant>
      <vt:variant>
        <vt:lpstr>Named Ranges</vt:lpstr>
      </vt:variant>
      <vt:variant>
        <vt:i4>7</vt:i4>
      </vt:variant>
    </vt:vector>
  </HeadingPairs>
  <TitlesOfParts>
    <vt:vector size="10" baseType="lpstr">
      <vt:lpstr>Introducción</vt:lpstr>
      <vt:lpstr>Módulo básico</vt:lpstr>
      <vt:lpstr>Módulo avanzado</vt:lpstr>
      <vt:lpstr>gBOD5capd</vt:lpstr>
      <vt:lpstr>GHGemissions</vt:lpstr>
      <vt:lpstr>methanecontent</vt:lpstr>
      <vt:lpstr>'Módulo avanzado'!Print_Area</vt:lpstr>
      <vt:lpstr>'Módulo básico'!Print_Area</vt:lpstr>
      <vt:lpstr>VSdestruction</vt:lpstr>
      <vt:lpstr>VSDS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KB</dc:creator>
  <cp:lastModifiedBy>CGoff</cp:lastModifiedBy>
  <cp:lastPrinted>2015-12-13T10:41:37Z</cp:lastPrinted>
  <dcterms:created xsi:type="dcterms:W3CDTF">2014-01-25T00:03:34Z</dcterms:created>
  <dcterms:modified xsi:type="dcterms:W3CDTF">2016-05-11T16:46:42Z</dcterms:modified>
</cp:coreProperties>
</file>